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3ed4a9f4475431a" /></Relationships>
</file>

<file path=xl/workbook.xml><?xml version="1.0" encoding="utf-8"?>
<x:workbook xmlns:x="http://schemas.openxmlformats.org/spreadsheetml/2006/main">
  <x:sheets>
    <x:sheet xmlns:r="http://schemas.openxmlformats.org/officeDocument/2006/relationships" name="Overview" sheetId="1" r:id="R5d0397a03f384792"/>
    <x:sheet xmlns:r="http://schemas.openxmlformats.org/officeDocument/2006/relationships" name="Funding" sheetId="2" r:id="R4b5e5f2bf3824a76"/>
    <x:sheet xmlns:r="http://schemas.openxmlformats.org/officeDocument/2006/relationships" name="Inputs" sheetId="3" r:id="Reabd50a2f12c4b26"/>
    <x:sheet xmlns:r="http://schemas.openxmlformats.org/officeDocument/2006/relationships" name="Pricing" sheetId="4" r:id="R8983d95551014961"/>
    <x:sheet xmlns:r="http://schemas.openxmlformats.org/officeDocument/2006/relationships" name="Compute" sheetId="5" r:id="R170baed329054644"/>
    <x:sheet xmlns:r="http://schemas.openxmlformats.org/officeDocument/2006/relationships" name="Sales" sheetId="6" r:id="Rf59caaebf7084da7"/>
    <x:sheet xmlns:r="http://schemas.openxmlformats.org/officeDocument/2006/relationships" name="Revenue" sheetId="7" r:id="R0c0036d0599d47b6"/>
    <x:sheet xmlns:r="http://schemas.openxmlformats.org/officeDocument/2006/relationships" name="People" sheetId="8" r:id="R9e90af9932ed4682"/>
    <x:sheet xmlns:r="http://schemas.openxmlformats.org/officeDocument/2006/relationships" name="Financials" sheetId="9" r:id="Rf8189ca7d2df442f"/>
    <x:sheet xmlns:r="http://schemas.openxmlformats.org/officeDocument/2006/relationships" name="Checks" sheetId="10" r:id="R8c220227324e4536"/>
    <x:sheet xmlns:r="http://schemas.openxmlformats.org/officeDocument/2006/relationships" name="Sources" sheetId="11" r:id="R01ac4325bebb497a"/>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0;(#,##0);&quot;-&quot;"/>
    <x:numFmt numFmtId="201" formatCode="0"/>
    <x:numFmt numFmtId="202" formatCode="0.0%;(0.0%);&quot;-&quot;"/>
    <x:numFmt numFmtId="203" formatCode="#,##0.0;(#,##0.0);&quot;-&quot;"/>
    <x:numFmt numFmtId="204" formatCode="0.00000"/>
    <x:numFmt numFmtId="205" formatCode="0.00"/>
    <x:numFmt numFmtId="206" formatCode="#,##0.00"/>
  </x:numFmts>
  <x:fonts count="12">
    <x:font>
      <x:sz val="11"/>
      <x:name val="Carlito"/>
    </x:font>
    <x:font>
      <x:sz val="11"/>
      <x:color rgb="FF191919"/>
      <x:name val="Arial"/>
    </x:font>
    <x:font>
      <x:b/>
      <x:sz val="17"/>
      <x:color rgb="FF914661"/>
      <x:name val="Arial"/>
    </x:font>
    <x:font>
      <x:b/>
      <x:sz val="11"/>
      <x:color rgb="FFFFFFFF"/>
      <x:name val="Arial"/>
    </x:font>
    <x:font>
      <x:b/>
      <x:sz val="11"/>
      <x:color rgb="FF1653AE"/>
      <x:name val="Arial"/>
    </x:font>
    <x:font>
      <x:b/>
      <x:sz val="11"/>
      <x:color rgb="FF191919"/>
      <x:name val="Arial"/>
    </x:font>
    <x:font>
      <x:sz val="11"/>
      <x:color rgb="FF1653AE"/>
      <x:name val="Arial"/>
    </x:font>
    <x:font>
      <x:sz val="10"/>
      <x:color rgb="FF625C5F"/>
      <x:name val="Arial"/>
    </x:font>
    <x:font>
      <x:sz val="10"/>
      <x:color rgb="FF555555"/>
      <x:name val="Arial"/>
    </x:font>
    <x:font>
      <x:sz val="11"/>
      <x:color rgb="FF23733E"/>
      <x:name val="Arial"/>
    </x:font>
    <x:font>
      <x:b/>
      <x:sz val="11"/>
      <x:color rgb="FF23733E"/>
      <x:name val="Arial"/>
    </x:font>
    <x:font>
      <x:b/>
      <x:sz val="10"/>
      <x:color rgb="FF9B405F"/>
      <x:name val="Arial"/>
    </x:font>
  </x:fonts>
  <x:fills count="6">
    <x:fill>
      <x:patternFill patternType="none"/>
    </x:fill>
    <x:fill>
      <x:patternFill patternType="gray125"/>
    </x:fill>
    <x:fill>
      <x:patternFill patternType="solid">
        <x:fgColor rgb="FF191919"/>
      </x:patternFill>
    </x:fill>
    <x:fill>
      <x:patternFill patternType="solid">
        <x:fgColor rgb="FFE6EFFA"/>
      </x:patternFill>
    </x:fill>
    <x:fill>
      <x:patternFill patternType="solid">
        <x:fgColor rgb="FFEEDDE3"/>
      </x:patternFill>
    </x:fill>
    <x:fill>
      <x:patternFill patternType="solid">
        <x:fgColor rgb="FFF4F0F2"/>
      </x:patternFill>
    </x:fill>
  </x:fills>
  <x:borders count="2">
    <x:border/>
    <x:border>
      <x:top style="thin">
        <x:color rgb="FFBEB8BA"/>
      </x:top>
    </x:border>
  </x:borders>
  <x:cellStyleXfs count="1">
    <x:xf numFmtId="0" fontId="0" fillId="0" borderId="0"/>
  </x:cellStyleXfs>
  <x:cellXfs count="6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20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200" fontId="3" fillId="2" borderId="0" xfId="0" applyNumberFormat="1" applyFont="1" applyFill="1" applyBorder="1" applyAlignment="1">
      <x:alignment vertical="center"/>
    </x:xf>
    <x:xf numFmtId="201" fontId="3" fillId="2" borderId="0" xfId="0" applyNumberFormat="1" applyFont="1" applyFill="1" applyBorder="1" applyAlignment="1">
      <x:alignment vertical="center"/>
    </x:xf>
    <x:xf numFmtId="200" fontId="1" fillId="3" borderId="0" xfId="0" applyNumberFormat="1" applyFont="1" applyFill="1" applyBorder="1" applyAlignment="1">
      <x:alignment vertical="center"/>
    </x:xf>
    <x:xf numFmtId="200" fontId="4" fillId="3" borderId="0" xfId="0" applyNumberFormat="1" applyFont="1" applyFill="1" applyBorder="1" applyAlignment="1">
      <x:alignment vertical="center"/>
    </x:xf>
    <x:xf numFmtId="0" fontId="1" fillId="4" borderId="0" xfId="0" applyNumberFormat="1" applyFont="1" applyFill="1" applyBorder="1" applyAlignment="1">
      <x:alignment vertical="center"/>
    </x:xf>
    <x:xf numFmtId="200" fontId="1" fillId="4" borderId="0" xfId="0" applyNumberFormat="1" applyFont="1" applyFill="1" applyBorder="1" applyAlignment="1">
      <x:alignment vertical="center"/>
    </x:xf>
    <x:xf numFmtId="0" fontId="5" fillId="4" borderId="0" xfId="0" applyNumberFormat="1" applyFont="1" applyFill="1" applyBorder="1" applyAlignment="1">
      <x:alignment vertical="center"/>
    </x:xf>
    <x:xf numFmtId="200" fontId="5" fillId="4" borderId="0" xfId="0" applyNumberFormat="1" applyFont="1" applyFill="1" applyBorder="1" applyAlignment="1">
      <x:alignment vertical="center"/>
    </x:xf>
    <x:xf numFmtId="200" fontId="6" fillId="0" borderId="0" xfId="0" applyNumberFormat="1" applyFont="1" applyFill="1" applyBorder="1" applyAlignment="1">
      <x:alignment vertical="center"/>
    </x:xf>
    <x:xf numFmtId="200" fontId="7" fillId="0" borderId="0" xfId="0" applyNumberFormat="1" applyFont="1" applyFill="1" applyBorder="1" applyAlignment="1">
      <x:alignment vertical="center"/>
    </x:xf>
    <x:xf numFmtId="200" fontId="7" fillId="0" borderId="0" xfId="0" applyNumberFormat="1" applyFont="1" applyFill="1" applyBorder="1" applyAlignment="1">
      <x:alignment vertical="center" wrapText="1"/>
    </x:xf>
    <x:xf numFmtId="200" fontId="7" fillId="0" borderId="0" xfId="0" applyNumberFormat="1" applyFont="1" applyFill="1" applyBorder="1" applyAlignment="1">
      <x:alignment vertical="top" wrapText="1"/>
    </x:xf>
    <x:xf numFmtId="0" fontId="1" fillId="5" borderId="0" xfId="0" applyNumberFormat="1" applyFont="1" applyFill="1" applyBorder="1" applyAlignment="1">
      <x:alignment vertical="center"/>
    </x:xf>
    <x:xf numFmtId="200" fontId="1" fillId="5" borderId="0" xfId="0" applyNumberFormat="1" applyFont="1" applyFill="1" applyBorder="1" applyAlignment="1">
      <x:alignment vertical="center"/>
    </x:xf>
    <x:xf numFmtId="202" fontId="6"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2" fontId="1" fillId="5" borderId="0" xfId="0" applyNumberFormat="1" applyFont="1" applyFill="1" applyBorder="1" applyAlignment="1">
      <x:alignment vertical="center"/>
    </x:xf>
    <x:xf numFmtId="203" fontId="6"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3" fontId="1" fillId="5" borderId="0" xfId="0" applyNumberFormat="1" applyFont="1" applyFill="1" applyBorder="1" applyAlignment="1">
      <x:alignment vertical="center"/>
    </x:xf>
    <x:xf numFmtId="204" fontId="6"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5" fontId="6"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3" fontId="1" fillId="0" borderId="0" xfId="0" applyNumberFormat="1" applyFont="1" applyFill="1" applyBorder="1" applyAlignment="1">
      <x:alignment vertical="center" wrapText="1"/>
    </x:xf>
    <x:xf numFmtId="0" fontId="7" fillId="0" borderId="0" xfId="0" applyNumberFormat="1" applyFont="1" applyFill="1" applyBorder="1" applyAlignment="1">
      <x:alignment vertical="center"/>
    </x:xf>
    <x:xf numFmtId="0" fontId="7" fillId="0" borderId="0" xfId="0" applyNumberFormat="1" applyFont="1" applyFill="1" applyBorder="1" applyAlignment="1">
      <x:alignment vertical="center" wrapText="1"/>
    </x:xf>
    <x:xf numFmtId="0" fontId="5" fillId="0" borderId="0" xfId="0" applyNumberFormat="1" applyFont="1" applyFill="1" applyBorder="1" applyAlignment="1">
      <x:alignment vertical="center"/>
    </x:xf>
    <x:xf numFmtId="200" fontId="5" fillId="0" borderId="0" xfId="0" applyNumberFormat="1" applyFont="1" applyFill="1" applyBorder="1" applyAlignment="1">
      <x:alignment vertical="center"/>
    </x:xf>
    <x:xf numFmtId="0" fontId="5" fillId="0" borderId="1" xfId="0" applyNumberFormat="1" applyFont="1" applyFill="1" applyBorder="1" applyAlignment="1">
      <x:alignment vertical="center"/>
    </x:xf>
    <x:xf numFmtId="200" fontId="5" fillId="0" borderId="1" xfId="0" applyNumberFormat="1" applyFont="1" applyFill="1" applyBorder="1" applyAlignment="1">
      <x:alignment vertical="center"/>
    </x:xf>
    <x:xf numFmtId="205" fontId="5" fillId="0" borderId="0" xfId="0" applyNumberFormat="1" applyFont="1" applyFill="1" applyBorder="1" applyAlignment="1">
      <x:alignment vertical="center"/>
    </x:xf>
    <x:xf numFmtId="205" fontId="5" fillId="0" borderId="1" xfId="0" applyNumberFormat="1" applyFont="1" applyFill="1" applyBorder="1" applyAlignment="1">
      <x:alignment vertical="center"/>
    </x:xf>
    <x:xf numFmtId="206" fontId="1" fillId="0" borderId="0" xfId="0" applyNumberFormat="1" applyFont="1" applyFill="1" applyBorder="1" applyAlignment="1">
      <x:alignment vertical="center"/>
    </x:xf>
    <x:xf numFmtId="206" fontId="5" fillId="0" borderId="0" xfId="0" applyNumberFormat="1" applyFont="1" applyFill="1" applyBorder="1" applyAlignment="1">
      <x:alignment vertical="center"/>
    </x:xf>
    <x:xf numFmtId="206" fontId="5" fillId="0" borderId="1" xfId="0" applyNumberFormat="1" applyFont="1" applyFill="1" applyBorder="1" applyAlignment="1">
      <x:alignment vertical="center"/>
    </x:xf>
    <x:xf numFmtId="203" fontId="5" fillId="4" borderId="0" xfId="0" applyNumberFormat="1" applyFont="1" applyFill="1" applyBorder="1" applyAlignment="1">
      <x:alignment vertical="center"/>
    </x:xf>
    <x:xf numFmtId="203" fontId="5" fillId="0" borderId="0" xfId="0" applyNumberFormat="1" applyFont="1" applyFill="1" applyBorder="1" applyAlignment="1">
      <x:alignment vertical="center"/>
    </x:xf>
    <x:xf numFmtId="203" fontId="5" fillId="0" borderId="1" xfId="0" applyNumberFormat="1" applyFont="1" applyFill="1" applyBorder="1" applyAlignment="1">
      <x:alignment vertical="center"/>
    </x:xf>
    <x:xf numFmtId="200" fontId="8" fillId="0" borderId="0" xfId="0" applyNumberFormat="1" applyFont="1" applyFill="1" applyBorder="1" applyAlignment="1">
      <x:alignment vertical="center"/>
    </x:xf>
    <x:xf numFmtId="200" fontId="8" fillId="0" borderId="0" xfId="0" applyNumberFormat="1" applyFont="1" applyFill="1" applyBorder="1" applyAlignment="1">
      <x:alignment vertical="center" wrapText="1"/>
    </x:xf>
    <x:xf numFmtId="200" fontId="1" fillId="0" borderId="0" xfId="0" applyNumberFormat="1" applyFont="1" applyFill="1" applyBorder="1" applyAlignment="1">
      <x:alignment vertical="top" wrapText="1"/>
    </x:xf>
    <x:xf numFmtId="200" fontId="9" fillId="0" borderId="0" xfId="0" applyNumberFormat="1" applyFont="1" applyFill="1" applyBorder="1" applyAlignment="1">
      <x:alignment vertical="center"/>
    </x:xf>
    <x:xf numFmtId="206" fontId="9" fillId="0" borderId="0" xfId="0" applyNumberFormat="1" applyFont="1" applyFill="1" applyBorder="1" applyAlignment="1">
      <x:alignment vertical="center"/>
    </x:xf>
    <x:xf numFmtId="206" fontId="10" fillId="0" borderId="1" xfId="0" applyNumberFormat="1" applyFont="1" applyFill="1" applyBorder="1" applyAlignment="1">
      <x:alignment vertical="center"/>
    </x:xf>
    <x:xf numFmtId="203" fontId="9" fillId="0" borderId="0" xfId="0" applyNumberFormat="1" applyFont="1" applyFill="1" applyBorder="1" applyAlignment="1">
      <x:alignment vertical="center"/>
    </x:xf>
    <x:xf numFmtId="203" fontId="10" fillId="0" borderId="1" xfId="0" applyNumberFormat="1" applyFont="1" applyFill="1" applyBorder="1" applyAlignment="1">
      <x:alignment vertical="center"/>
    </x:xf>
    <x:xf numFmtId="200" fontId="10" fillId="0" borderId="1" xfId="0" applyNumberFormat="1" applyFont="1" applyFill="1" applyBorder="1" applyAlignment="1">
      <x:alignment vertical="center"/>
    </x:xf>
    <x:xf numFmtId="202" fontId="9" fillId="0" borderId="0" xfId="0" applyNumberFormat="1" applyFont="1" applyFill="1" applyBorder="1" applyAlignment="1">
      <x:alignment vertical="center"/>
    </x:xf>
    <x:xf numFmtId="205" fontId="9" fillId="0" borderId="0" xfId="0" applyNumberFormat="1" applyFont="1" applyFill="1" applyBorder="1" applyAlignment="1">
      <x:alignment vertical="center"/>
    </x:xf>
    <x:xf numFmtId="0" fontId="5" fillId="0" borderId="1" xfId="0" applyNumberFormat="1" applyFont="1" applyFill="1" applyBorder="1" applyAlignment="1">
      <x:alignment vertical="center" wrapText="1"/>
    </x:xf>
    <x:xf numFmtId="0" fontId="5" fillId="4"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200" fontId="11" fillId="0" borderId="0" xfId="0" applyNumberFormat="1" applyFont="1" applyFill="1" applyBorder="1" applyAlignment="1">
      <x:alignment vertical="center"/>
    </x:xf>
  </x:cellXfs>
  <x:cellStyles count="1">
    <x:cellStyle name="Normal" xfId="0"/>
  </x:cellStyles>
  <x:dxfs count="5">
    <x:dxf>
      <x:font>
        <x:b/>
        <x:color rgb="FFA12626"/>
      </x:font>
      <x:fill>
        <x:patternFill>
          <x:bgColor rgb="FFFBE5E5"/>
        </x:patternFill>
      </x:fill>
    </x:dxf>
    <x:dxf>
      <x:font>
        <x:color rgb="FFA12626"/>
      </x:font>
    </x:dxf>
    <x:dxf>
      <x:font>
        <x:color rgb="FFA12626"/>
      </x:font>
    </x:dxf>
    <x:dxf>
      <x:font>
        <x:color rgb="FFA12626"/>
      </x:font>
    </x:dxf>
    <x:dxf>
      <x:font>
        <x:color rgb="FFA12626"/>
      </x:font>
    </x:dxf>
  </x:dxfs>
</x:styleSheet>
</file>

<file path=xl/_rels/workbook.xml.rels>&#65279;<?xml version="1.0" encoding="utf-8"?><Relationships xmlns="http://schemas.openxmlformats.org/package/2006/relationships"><Relationship Type="http://schemas.openxmlformats.org/officeDocument/2006/relationships/styles" Target="/xl/styles.xml" Id="R3a783eb78bd94af4" /><Relationship Type="http://schemas.openxmlformats.org/officeDocument/2006/relationships/theme" Target="/xl/theme/theme1.xml" Id="R5d2f158dbe5f4461" /><Relationship Type="http://schemas.openxmlformats.org/officeDocument/2006/relationships/sharedStrings" Target="/xl/sharedStrings.xml" Id="R70b3f877f63743da" /><Relationship Type="http://schemas.openxmlformats.org/officeDocument/2006/relationships/worksheet" Target="/xl/worksheets/sheet1.xml" Id="R5d0397a03f384792" /><Relationship Type="http://schemas.openxmlformats.org/officeDocument/2006/relationships/worksheet" Target="/xl/worksheets/sheet2.xml" Id="R4b5e5f2bf3824a76" /><Relationship Type="http://schemas.openxmlformats.org/officeDocument/2006/relationships/worksheet" Target="/xl/worksheets/sheet3.xml" Id="Reabd50a2f12c4b26" /><Relationship Type="http://schemas.openxmlformats.org/officeDocument/2006/relationships/worksheet" Target="/xl/worksheets/sheet4.xml" Id="R8983d95551014961" /><Relationship Type="http://schemas.openxmlformats.org/officeDocument/2006/relationships/worksheet" Target="/xl/worksheets/sheet5.xml" Id="R170baed329054644" /><Relationship Type="http://schemas.openxmlformats.org/officeDocument/2006/relationships/worksheet" Target="/xl/worksheets/sheet6.xml" Id="Rf59caaebf7084da7" /><Relationship Type="http://schemas.openxmlformats.org/officeDocument/2006/relationships/worksheet" Target="/xl/worksheets/sheet7.xml" Id="R0c0036d0599d47b6" /><Relationship Type="http://schemas.openxmlformats.org/officeDocument/2006/relationships/worksheet" Target="/xl/worksheets/sheet8.xml" Id="R9e90af9932ed4682" /><Relationship Type="http://schemas.openxmlformats.org/officeDocument/2006/relationships/worksheet" Target="/xl/worksheets/sheet9.xml" Id="Rf8189ca7d2df442f" /><Relationship Type="http://schemas.openxmlformats.org/officeDocument/2006/relationships/worksheet" Target="/xl/worksheets/sheet10.xml" Id="R8c220227324e4536" /><Relationship Type="http://schemas.openxmlformats.org/officeDocument/2006/relationships/worksheet" Target="/xl/worksheets/sheet11.xml" Id="R01ac4325bebb497a" /></Relationships>
</file>

<file path=xl/drawings/_rels/drawing1.xml.rels>&#65279;<?xml version="1.0" encoding="utf-8"?><Relationships xmlns="http://schemas.openxmlformats.org/package/2006/relationships"><Relationship Type="http://schemas.openxmlformats.org/officeDocument/2006/relationships/chart" Target="/xl/drawings/charts/chart1.xml" Id="Re56274196b444418" /><Relationship Type="http://schemas.openxmlformats.org/officeDocument/2006/relationships/chart" Target="/xl/drawings/charts/chart2.xml" Id="R7c7c3c37ffb841dc"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75">
                <a:latin typeface="Arial"/>
                <a:ea typeface="Arial"/>
                <a:cs typeface="Arial"/>
              </a:rPr>
              <a:t>Customers: capacity and agreed milestones</a:t>
            </a:r>
          </a:p>
        </c:rich>
      </c:tx>
      <c:overlay val="0"/>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title>
    <c:plotArea>
      <c:lineChart>
        <c:grouping val="standard"/>
        <c:varyColors val="0"/>
        <c:ser>
          <c:idx val="0"/>
          <c:order val="0"/>
          <c:tx>
            <c:v>Forecast customers</c:v>
          </c:tx>
          <c:spPr>
            <a:ln xmlns:a="http://schemas.openxmlformats.org/drawingml/2006/main" w="19050">
              <a:solidFill>
                <a:srgbClr val="914661"/>
              </a:solidFill>
              <a:prstDash val="solid"/>
            </a:ln>
          </c:spPr>
          <c:marker>
            <c:symbol val="none"/>
          </c:marker>
          <c:cat>
            <c:strRef>
              <c:f>'Overview'!$C$50:$C$54</c:f>
              <c:strCache>
                <c:ptCount val="0"/>
              </c:strCache>
            </c:strRef>
          </c:cat>
          <c:val>
            <c:numRef>
              <c:f>'Overview'!$D$50:$D$54</c:f>
              <c:numCache>
                <c:formatCode>#,##0;(#,##0);"-"</c:formatCode>
                <c:ptCount val="0"/>
              </c:numCache>
            </c:numRef>
          </c:val>
          <c:smooth val="0"/>
        </c:ser>
        <c:ser>
          <c:idx val="1"/>
          <c:order val="1"/>
          <c:tx>
            <c:v>Agreed milestone</c:v>
          </c:tx>
          <c:spPr>
            <a:ln xmlns:a="http://schemas.openxmlformats.org/drawingml/2006/main" w="19050">
              <a:solidFill>
                <a:srgbClr val="999999"/>
              </a:solidFill>
              <a:prstDash val="dash"/>
            </a:ln>
          </c:spPr>
          <c:marker>
            <c:symbol val="none"/>
          </c:marker>
          <c:cat>
            <c:strRef>
              <c:f>'Overview'!$C$50:$C$54</c:f>
              <c:strCache>
                <c:ptCount val="0"/>
              </c:strCache>
            </c:strRef>
          </c:cat>
          <c:val>
            <c:numRef>
              <c:f>'Overview'!$E$50:$E$54</c:f>
              <c:numCache>
                <c:formatCode>#,##0;(#,##0);"-"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50112"/>
        <c:crossBetween val="between"/>
      </c:valAx>
    </c:plotArea>
    <c:legend>
      <c:legendPos val="t"/>
      <c:overlay val="0"/>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75">
                <a:latin typeface="Arial"/>
                <a:ea typeface="Arial"/>
                <a:cs typeface="Arial"/>
              </a:rPr>
              <a:t>Revenue and EBIT (EUR millions)</a:t>
            </a:r>
          </a:p>
        </c:rich>
      </c:tx>
      <c:overlay val="0"/>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title>
    <c:plotArea>
      <c:lineChart>
        <c:grouping val="standard"/>
        <c:varyColors val="0"/>
        <c:ser>
          <c:idx val="0"/>
          <c:order val="0"/>
          <c:tx>
            <c:v>Revenue EUR m</c:v>
          </c:tx>
          <c:spPr>
            <a:ln xmlns:a="http://schemas.openxmlformats.org/drawingml/2006/main" w="19050">
              <a:solidFill>
                <a:srgbClr val="739A96"/>
              </a:solidFill>
              <a:prstDash val="solid"/>
            </a:ln>
          </c:spPr>
          <c:marker>
            <c:symbol val="none"/>
          </c:marker>
          <c:cat>
            <c:strRef>
              <c:f>'Overview'!$C$50:$C$54</c:f>
              <c:strCache>
                <c:ptCount val="0"/>
              </c:strCache>
            </c:strRef>
          </c:cat>
          <c:val>
            <c:numRef>
              <c:f>'Overview'!$F$50:$F$54</c:f>
              <c:numCache>
                <c:formatCode>#,##0.0;(#,##0.0);"-"</c:formatCode>
                <c:ptCount val="0"/>
              </c:numCache>
            </c:numRef>
          </c:val>
          <c:smooth val="0"/>
        </c:ser>
        <c:ser>
          <c:idx val="1"/>
          <c:order val="1"/>
          <c:tx>
            <c:v>EBIT EUR m</c:v>
          </c:tx>
          <c:spPr>
            <a:ln xmlns:a="http://schemas.openxmlformats.org/drawingml/2006/main" w="19050">
              <a:solidFill>
                <a:srgbClr val="914661"/>
              </a:solidFill>
              <a:prstDash val="solid"/>
            </a:ln>
          </c:spPr>
          <c:marker>
            <c:symbol val="none"/>
          </c:marker>
          <c:cat>
            <c:strRef>
              <c:f>'Overview'!$C$50:$C$54</c:f>
              <c:strCache>
                <c:ptCount val="0"/>
              </c:strCache>
            </c:strRef>
          </c:cat>
          <c:val>
            <c:numRef>
              <c:f>'Overview'!$G$50:$G$54</c:f>
              <c:numCache>
                <c:formatCode>#,##0.0;(#,##0.0);"-"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 sourceLinked="0"/>
        <c:majorTickMark val="none"/>
        <c:minorTickMark val="none"/>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50112"/>
        <c:crossBetween val="between"/>
      </c:valAx>
    </c:plotArea>
    <c:legend>
      <c:legendPos val="t"/>
      <c:overlay val="0"/>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2</xdr:col>
      <xdr:colOff>0</xdr:colOff>
      <xdr:row>55</xdr:row>
      <xdr:rowOff>0</xdr:rowOff>
    </xdr:from>
    <xdr:to>
      <xdr:col>8</xdr:col>
      <xdr:colOff>0</xdr:colOff>
      <xdr:row>70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56274196b444418"/>
        </a:graphicData>
      </a:graphic>
    </xdr:graphicFrame>
    <xdr:clientData/>
  </xdr:twoCellAnchor>
  <xdr:twoCellAnchor>
    <xdr:from>
      <xdr:col>2</xdr:col>
      <xdr:colOff>0</xdr:colOff>
      <xdr:row>71</xdr:row>
      <xdr:rowOff>0</xdr:rowOff>
    </xdr:from>
    <xdr:to>
      <xdr:col>8</xdr:col>
      <xdr:colOff>0</xdr:colOff>
      <xdr:row>86</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7c7c3c37ffb841dc"/>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92fd32b3f59745f0" /></Relationships>
</file>

<file path=xl/worksheets/sheet1.xml><?xml version="1.0" encoding="utf-8"?>
<x:worksheet xmlns:x="http://schemas.openxmlformats.org/spreadsheetml/2006/main">
  <x:sheetPr>
    <x:tabColor rgb="FF914661"/>
  </x:sheetPr>
  <x:sheetViews>
    <x:sheetView showGridLines="0" workbookViewId="0"/>
  </x:sheetViews>
  <x:sheetFormatPr defaultRowHeight="15"/>
  <x:cols>
    <x:col min="1" max="1" width="2" hidden="0" customWidth="1"/>
    <x:col min="2" max="2" width="2" hidden="0" customWidth="1"/>
    <x:col min="3" max="3" width="48" hidden="0" customWidth="1"/>
    <x:col min="4" max="4" width="18" hidden="0" customWidth="1"/>
    <x:col min="5" max="5" width="18" hidden="0" customWidth="1"/>
    <x:col min="6" max="6" width="18" hidden="0" customWidth="1"/>
    <x:col min="7" max="7" width="18" hidden="0" customWidth="1"/>
    <x:col min="8" max="8" width="18" hidden="0" customWidth="1"/>
    <x:col min="9" max="9" width="16" hidden="0" customWidth="1"/>
    <x:col min="10" max="10" width="16" hidden="0" customWidth="1"/>
    <x:col min="11" max="11" width="16" hidden="0" customWidth="1"/>
    <x:col min="12" max="12" width="16" hidden="0" customWidth="1"/>
  </x:cols>
  <x:sheetData>
    <x:row r="1" ht="25" customHeight="1">
      <x:c r="A1" s="2"/>
      <x:c r="B1" s="2"/>
      <x:c r="C1" s="2"/>
      <x:c r="D1" s="3"/>
      <x:c r="E1" s="3"/>
      <x:c r="F1" s="3"/>
      <x:c r="G1" s="3"/>
      <x:c r="H1" s="3"/>
      <x:c r="I1" s="3"/>
      <x:c r="J1" s="3"/>
      <x:c r="K1" s="3"/>
      <x:c r="L1" s="3"/>
    </x:row>
    <x:row r="2" ht="34" customHeight="1">
      <x:c r="A2" s="2"/>
      <x:c r="B2" s="2"/>
      <x:c r="C2" s="4" t="str">
        <x:v>Uniio | Venture scale plan 2026–2030</x:v>
      </x:c>
      <x:c r="D2" s="3"/>
      <x:c r="E2" s="3"/>
      <x:c r="F2" s="3"/>
      <x:c r="G2" s="3"/>
      <x:c r="H2" s="3"/>
      <x:c r="I2" s="3"/>
      <x:c r="J2" s="3"/>
      <x:c r="K2" s="3"/>
      <x:c r="L2" s="3"/>
    </x:row>
    <x:row r="3" ht="25" customHeight="1">
      <x:c r="A3" s="2"/>
      <x:c r="B3" s="2"/>
      <x:c r="C3" s="2" t="str">
        <x:v>Selected case</x:v>
      </x:c>
      <x:c r="D3" s="52" t="str">
        <x:f>'Inputs'!$E$3</x:f>
        <x:v>Base</x:v>
      </x:c>
      <x:c r="E3" s="3"/>
      <x:c r="F3" s="3"/>
      <x:c r="G3" s="3"/>
      <x:c r="H3" s="3"/>
      <x:c r="I3" s="3"/>
      <x:c r="J3" s="3"/>
      <x:c r="K3" s="3"/>
      <x:c r="L3" s="3"/>
    </x:row>
    <x:row r="4" ht="25" customHeight="1">
      <x:c r="A4" s="2"/>
      <x:c r="B4" s="2"/>
      <x:c r="C4" s="2"/>
      <x:c r="D4" s="3"/>
      <x:c r="E4" s="3"/>
      <x:c r="F4" s="3"/>
      <x:c r="G4" s="3"/>
      <x:c r="H4" s="3"/>
      <x:c r="I4" s="3"/>
      <x:c r="J4" s="3"/>
      <x:c r="K4" s="3"/>
      <x:c r="L4" s="3"/>
    </x:row>
    <x:row r="5" ht="25" customHeight="1">
      <x:c r="A5" s="2"/>
      <x:c r="B5" s="2"/>
      <x:c r="C5" s="7"/>
      <x:c r="D5" s="9" t="str">
        <x:v>2026 Q4</x:v>
      </x:c>
      <x:c r="E5" s="9" t="n">
        <x:v>2027</x:v>
      </x:c>
      <x:c r="F5" s="9" t="n">
        <x:v>2028</x:v>
      </x:c>
      <x:c r="G5" s="9" t="n">
        <x:v>2029</x:v>
      </x:c>
      <x:c r="H5" s="9" t="n">
        <x:v>2030</x:v>
      </x:c>
      <x:c r="I5" s="3"/>
      <x:c r="J5" s="3"/>
      <x:c r="K5" s="3"/>
      <x:c r="L5" s="3"/>
    </x:row>
    <x:row r="6" ht="28" customHeight="1">
      <x:c r="A6" s="2"/>
      <x:c r="B6" s="2"/>
      <x:c r="C6" s="32"/>
      <x:c r="D6" s="3"/>
      <x:c r="E6" s="3"/>
      <x:c r="F6" s="3"/>
      <x:c r="G6" s="3"/>
      <x:c r="H6" s="3"/>
      <x:c r="I6" s="3"/>
      <x:c r="J6" s="3"/>
      <x:c r="K6" s="3"/>
      <x:c r="L6" s="3"/>
    </x:row>
    <x:row r="7" ht="28" customHeight="1">
      <x:c r="A7" s="2"/>
      <x:c r="B7" s="2"/>
      <x:c r="C7" s="32" t="str">
        <x:v>Platform customer milestone</x:v>
      </x:c>
      <x:c r="D7" s="3" t="n">
        <x:f>'Inputs'!D9</x:f>
        <x:v>0</x:v>
      </x:c>
      <x:c r="E7" s="3" t="n">
        <x:f>'Inputs'!E9</x:f>
        <x:v>25</x:v>
      </x:c>
      <x:c r="F7" s="3" t="n">
        <x:f>'Inputs'!F9</x:f>
        <x:v>97</x:v>
      </x:c>
      <x:c r="G7" s="3" t="n">
        <x:f>'Inputs'!G9</x:f>
        <x:v>432</x:v>
      </x:c>
      <x:c r="H7" s="3" t="n">
        <x:f>'Inputs'!H9</x:f>
        <x:v>1292</x:v>
      </x:c>
      <x:c r="I7" s="3"/>
      <x:c r="J7" s="3"/>
      <x:c r="K7" s="3"/>
      <x:c r="L7" s="3"/>
    </x:row>
    <x:row r="8" ht="28" customHeight="1">
      <x:c r="A8" s="2"/>
      <x:c r="B8" s="2"/>
      <x:c r="C8" s="60" t="str">
        <x:v>Active customers, plan within capacity</x:v>
      </x:c>
      <x:c r="D8" s="40" t="n">
        <x:f>'Revenue'!D7</x:f>
        <x:v>0</x:v>
      </x:c>
      <x:c r="E8" s="40" t="n">
        <x:f>'Revenue'!H7</x:f>
        <x:v>25</x:v>
      </x:c>
      <x:c r="F8" s="40" t="n">
        <x:f>'Revenue'!L7</x:f>
        <x:v>97.00000000000001</x:v>
      </x:c>
      <x:c r="G8" s="40" t="n">
        <x:f>'Revenue'!P7</x:f>
        <x:v>431.5437500000001</x:v>
      </x:c>
      <x:c r="H8" s="40" t="n">
        <x:f>'Revenue'!T7</x:f>
        <x:v>1292</x:v>
      </x:c>
      <x:c r="I8" s="3"/>
      <x:c r="J8" s="3"/>
      <x:c r="K8" s="3"/>
      <x:c r="L8" s="3"/>
    </x:row>
    <x:row r="9" ht="28" customHeight="1">
      <x:c r="A9" s="2"/>
      <x:c r="B9" s="2"/>
      <x:c r="C9" s="32" t="str">
        <x:v>Gap to platform milestone</x:v>
      </x:c>
      <x:c r="D9" s="3" t="n">
        <x:f>D8-D7</x:f>
        <x:v>0</x:v>
      </x:c>
      <x:c r="E9" s="3" t="n">
        <x:f>E8-E7</x:f>
        <x:v>0</x:v>
      </x:c>
      <x:c r="F9" s="3" t="n">
        <x:f>F8-F7</x:f>
        <x:v>1.4210854715202004e-14</x:v>
      </x:c>
      <x:c r="G9" s="3" t="n">
        <x:f>G8-G7</x:f>
        <x:v>-0.4562499999998977</x:v>
      </x:c>
      <x:c r="H9" s="3" t="n">
        <x:f>H8-H7</x:f>
        <x:v>0</x:v>
      </x:c>
      <x:c r="I9" s="3"/>
      <x:c r="J9" s="3"/>
      <x:c r="K9" s="3"/>
      <x:c r="L9" s="3"/>
    </x:row>
    <x:row r="10" ht="28" customHeight="1">
      <x:c r="A10" s="2"/>
      <x:c r="B10" s="2"/>
      <x:c r="C10" s="32" t="str">
        <x:v>New platform customers activated</x:v>
      </x:c>
      <x:c r="D10" s="3" t="n">
        <x:f>SUM('Revenue'!D8:D8)</x:f>
        <x:v>0</x:v>
      </x:c>
      <x:c r="E10" s="3" t="n">
        <x:f>SUM('Revenue'!E8:H8)</x:f>
        <x:v>25</x:v>
      </x:c>
      <x:c r="F10" s="3" t="n">
        <x:f>SUM('Revenue'!I8:L8)</x:f>
        <x:v>74.5</x:v>
      </x:c>
      <x:c r="G10" s="3" t="n">
        <x:f>SUM('Revenue'!M8:P8)</x:f>
        <x:v>342.30375000000004</x:v>
      </x:c>
      <x:c r="H10" s="3" t="n">
        <x:f>SUM('Revenue'!Q8:T8)</x:f>
        <x:v>894.9797499999999</x:v>
      </x:c>
      <x:c r="I10" s="3"/>
      <x:c r="J10" s="3"/>
      <x:c r="K10" s="3"/>
      <x:c r="L10" s="3"/>
    </x:row>
    <x:row r="11" ht="28" customHeight="1">
      <x:c r="A11" s="2"/>
      <x:c r="B11" s="2"/>
      <x:c r="C11" s="32" t="str">
        <x:v>Signed mappings awaiting delivery</x:v>
      </x:c>
      <x:c r="D11" s="3" t="n">
        <x:f>'Sales'!D33</x:f>
        <x:v>5</x:v>
      </x:c>
      <x:c r="E11" s="3" t="n">
        <x:f>'Sales'!H33</x:f>
        <x:v>13.1328125</x:v>
      </x:c>
      <x:c r="F11" s="3" t="n">
        <x:f>'Sales'!L33</x:f>
        <x:v>57.3671875</x:v>
      </x:c>
      <x:c r="G11" s="3" t="n">
        <x:f>'Sales'!P33</x:f>
        <x:v>208.58749999999998</x:v>
      </x:c>
      <x:c r="H11" s="3" t="n">
        <x:f>'Sales'!T33</x:f>
        <x:v>543.2096875000002</x:v>
      </x:c>
      <x:c r="I11" s="3"/>
      <x:c r="J11" s="3"/>
      <x:c r="K11" s="3"/>
      <x:c r="L11" s="3"/>
    </x:row>
    <x:row r="12" ht="28" customHeight="1">
      <x:c r="A12" s="2"/>
      <x:c r="B12" s="2"/>
      <x:c r="C12" s="32" t="str">
        <x:v>Employees covered</x:v>
      </x:c>
      <x:c r="D12" s="3" t="n">
        <x:f>'Revenue'!D10</x:f>
        <x:v>0</x:v>
      </x:c>
      <x:c r="E12" s="3" t="n">
        <x:f>'Revenue'!H10</x:f>
        <x:v>4125</x:v>
      </x:c>
      <x:c r="F12" s="3" t="n">
        <x:f>'Revenue'!L10</x:f>
        <x:v>25503.75</x:v>
      </x:c>
      <x:c r="G12" s="3" t="n">
        <x:f>'Revenue'!P10</x:f>
        <x:v>134712.16875</x:v>
      </x:c>
      <x:c r="H12" s="3" t="n">
        <x:f>'Revenue'!T10</x:f>
        <x:v>504301.589</x:v>
      </x:c>
      <x:c r="I12" s="3"/>
      <x:c r="J12" s="3"/>
      <x:c r="K12" s="3"/>
      <x:c r="L12" s="3"/>
    </x:row>
    <x:row r="13" ht="28" customHeight="1">
      <x:c r="A13" s="2"/>
      <x:c r="B13" s="2"/>
      <x:c r="C13" s="32"/>
      <x:c r="D13" s="3"/>
      <x:c r="E13" s="3"/>
      <x:c r="F13" s="3"/>
      <x:c r="G13" s="3"/>
      <x:c r="H13" s="3"/>
      <x:c r="I13" s="3"/>
      <x:c r="J13" s="3"/>
      <x:c r="K13" s="3"/>
      <x:c r="L13" s="3"/>
    </x:row>
    <x:row r="14" ht="28" customHeight="1">
      <x:c r="A14" s="2"/>
      <x:c r="B14" s="2"/>
      <x:c r="C14" s="60" t="str">
        <x:v>ARR at year end, EUR m</x:v>
      </x:c>
      <x:c r="D14" s="48" t="n">
        <x:f>'Revenue'!D16/1000000</x:f>
        <x:v>0</x:v>
      </x:c>
      <x:c r="E14" s="48" t="n">
        <x:f>'Revenue'!H16/1000000</x:f>
        <x:v>0.5071289934292892</x:v>
      </x:c>
      <x:c r="F14" s="48" t="n">
        <x:f>'Revenue'!L16/1000000</x:f>
        <x:v>2.8786062171095845</x:v>
      </x:c>
      <x:c r="G14" s="48" t="n">
        <x:f>'Revenue'!P16/1000000</x:f>
        <x:v>15.038564517658621</x:v>
      </x:c>
      <x:c r="H14" s="48" t="n">
        <x:f>'Revenue'!T16/1000000</x:f>
        <x:v>54.04026946529533</x:v>
      </x:c>
      <x:c r="I14" s="3"/>
      <x:c r="J14" s="3"/>
      <x:c r="K14" s="3"/>
      <x:c r="L14" s="3"/>
    </x:row>
    <x:row r="15" ht="28" customHeight="1">
      <x:c r="A15" s="2"/>
      <x:c r="B15" s="2"/>
      <x:c r="C15" s="32" t="str">
        <x:v>Platform subscription revenue, EUR m</x:v>
      </x:c>
      <x:c r="D15" s="26" t="n">
        <x:f>SUM('Revenue'!D17:D17)/1000000</x:f>
        <x:v>0</x:v>
      </x:c>
      <x:c r="E15" s="26" t="n">
        <x:f>SUM('Revenue'!E17:H17)/1000000</x:f>
        <x:v>0.29286699370541447</x:v>
      </x:c>
      <x:c r="F15" s="26" t="n">
        <x:f>SUM('Revenue'!I17:L17)/1000000</x:f>
        <x:v>1.7547341036394095</x:v>
      </x:c>
      <x:c r="G15" s="26" t="n">
        <x:f>SUM('Revenue'!M17:P17)/1000000</x:f>
        <x:v>9.318327796732541</x:v>
      </x:c>
      <x:c r="H15" s="26" t="n">
        <x:f>SUM('Revenue'!Q17:T17)/1000000</x:f>
        <x:v>38.20157279036868</x:v>
      </x:c>
      <x:c r="I15" s="3"/>
      <x:c r="J15" s="3"/>
      <x:c r="K15" s="3"/>
      <x:c r="L15" s="3"/>
    </x:row>
    <x:row r="16" ht="28" customHeight="1">
      <x:c r="A16" s="2"/>
      <x:c r="B16" s="2"/>
      <x:c r="C16" s="32" t="str">
        <x:v>Initial mapping revenue, EUR m</x:v>
      </x:c>
      <x:c r="D16" s="26" t="n">
        <x:f>SUM('Revenue'!D171:D171)/1000000</x:f>
        <x:v>0</x:v>
      </x:c>
      <x:c r="E16" s="26" t="n">
        <x:f>SUM('Revenue'!E171:H171)/1000000</x:f>
        <x:v>0.8780260271594744</x:v>
      </x:c>
      <x:c r="F16" s="26" t="n">
        <x:f>SUM('Revenue'!I171:L171)/1000000</x:f>
        <x:v>5.498518149089129</x:v>
      </x:c>
      <x:c r="G16" s="26" t="n">
        <x:f>SUM('Revenue'!M171:P171)/1000000</x:f>
        <x:v>30.395857749642946</x:v>
      </x:c>
      <x:c r="H16" s="26" t="n">
        <x:f>SUM('Revenue'!Q171:T171)/1000000</x:f>
        <x:v>95.05765733133734</x:v>
      </x:c>
      <x:c r="I16" s="3"/>
      <x:c r="J16" s="3"/>
      <x:c r="K16" s="3"/>
      <x:c r="L16" s="3"/>
    </x:row>
    <x:row r="17" ht="28" customHeight="1">
      <x:c r="A17" s="2"/>
      <x:c r="B17" s="2"/>
      <x:c r="C17" s="60" t="str">
        <x:v>Total revenue, EUR m</x:v>
      </x:c>
      <x:c r="D17" s="48" t="n">
        <x:f>SUM(D15:D16)</x:f>
        <x:v>0</x:v>
      </x:c>
      <x:c r="E17" s="48" t="n">
        <x:f>SUM(E15:E16)</x:f>
        <x:v>1.170893020864889</x:v>
      </x:c>
      <x:c r="F17" s="48" t="n">
        <x:f>SUM(F15:F16)</x:f>
        <x:v>7.253252252728538</x:v>
      </x:c>
      <x:c r="G17" s="48" t="n">
        <x:f>SUM(G15:G16)</x:f>
        <x:v>39.71418554637549</x:v>
      </x:c>
      <x:c r="H17" s="48" t="n">
        <x:f>SUM(H15:H16)</x:f>
        <x:v>133.25923012170603</x:v>
      </x:c>
      <x:c r="I17" s="3"/>
      <x:c r="J17" s="3"/>
      <x:c r="K17" s="3"/>
      <x:c r="L17" s="3"/>
    </x:row>
    <x:row r="18" ht="28" customHeight="1">
      <x:c r="A18" s="2"/>
      <x:c r="B18" s="2"/>
      <x:c r="C18" s="60" t="str">
        <x:v>EBIT, EUR m</x:v>
      </x:c>
      <x:c r="D18" s="48" t="n">
        <x:f>SUM('Financials'!D40:D40)/1000000</x:f>
        <x:v>-0.3877873133333333</x:v>
      </x:c>
      <x:c r="E18" s="48" t="n">
        <x:f>SUM('Financials'!E40:H40)/1000000</x:f>
        <x:v>-4.194219205528178</x:v>
      </x:c>
      <x:c r="F18" s="48" t="n">
        <x:f>SUM('Financials'!I40:L40)/1000000</x:f>
        <x:v>-11.013940752469411</x:v>
      </x:c>
      <x:c r="G18" s="48" t="n">
        <x:f>SUM('Financials'!M40:P40)/1000000</x:f>
        <x:v>-11.858564324423947</x:v>
      </x:c>
      <x:c r="H18" s="48" t="n">
        <x:f>SUM('Financials'!Q40:T40)/1000000</x:f>
        <x:v>21.363020369711847</x:v>
      </x:c>
      <x:c r="I18" s="3"/>
      <x:c r="J18" s="3"/>
      <x:c r="K18" s="3"/>
      <x:c r="L18" s="3"/>
    </x:row>
    <x:row r="19" ht="28" customHeight="1">
      <x:c r="A19" s="2"/>
      <x:c r="B19" s="2"/>
      <x:c r="C19" s="32" t="str">
        <x:v>EBIT margin</x:v>
      </x:c>
      <x:c r="D19" s="23" t="n">
        <x:f>IF(D17=0,0,D18/D17)</x:f>
        <x:v>0</x:v>
      </x:c>
      <x:c r="E19" s="23" t="n">
        <x:f>IF(E17=0,0,E18/E17)</x:f>
        <x:v>-3.582068669629687</x:v>
      </x:c>
      <x:c r="F19" s="23" t="n">
        <x:f>IF(F17=0,0,F18/F17)</x:f>
        <x:v>-1.518483070587566</x:v>
      </x:c>
      <x:c r="G19" s="23" t="n">
        <x:f>IF(G17=0,0,G18/G17)</x:f>
        <x:v>-0.29859769654790813</x:v>
      </x:c>
      <x:c r="H19" s="23" t="n">
        <x:f>IF(H17=0,0,H18/H17)</x:f>
        <x:v>0.1603117498893018</x:v>
      </x:c>
      <x:c r="I19" s="3"/>
      <x:c r="J19" s="3"/>
      <x:c r="K19" s="3"/>
      <x:c r="L19" s="3"/>
    </x:row>
    <x:row r="20" ht="28" customHeight="1">
      <x:c r="A20" s="2"/>
      <x:c r="B20" s="2"/>
      <x:c r="C20" s="32" t="str">
        <x:v>Product and AI development, EUR m</x:v>
      </x:c>
      <x:c r="D20" s="26" t="n">
        <x:f>SUM('Financials'!D22:D22)/1000000</x:f>
        <x:v>0.18470398</x:v>
      </x:c>
      <x:c r="E20" s="26" t="n">
        <x:f>SUM('Financials'!E22:H22)/1000000</x:f>
        <x:v>1.9029898</x:v>
      </x:c>
      <x:c r="F20" s="26" t="n">
        <x:f>SUM('Financials'!I22:L22)/1000000</x:f>
        <x:v>5.2217539</x:v>
      </x:c>
      <x:c r="G20" s="26" t="n">
        <x:f>SUM('Financials'!M22:P22)/1000000</x:f>
        <x:v>12.006205375000002</x:v>
      </x:c>
      <x:c r="H20" s="26" t="n">
        <x:f>SUM('Financials'!Q22:T22)/1000000</x:f>
        <x:v>22.716163346250003</x:v>
      </x:c>
      <x:c r="I20" s="3"/>
      <x:c r="J20" s="3"/>
      <x:c r="K20" s="3"/>
      <x:c r="L20" s="3"/>
    </x:row>
    <x:row r="21" ht="28" customHeight="1">
      <x:c r="A21" s="2"/>
      <x:c r="B21" s="2"/>
      <x:c r="C21" s="32" t="str">
        <x:v>Sales and marketing, EUR m</x:v>
      </x:c>
      <x:c r="D21" s="26" t="n">
        <x:f>SUM('Financials'!D29:D29)/1000000</x:f>
        <x:v>0.0275</x:v>
      </x:c>
      <x:c r="E21" s="26" t="n">
        <x:f>SUM('Financials'!E29:H29)/1000000</x:f>
        <x:v>1.2462406339007912</x:v>
      </x:c>
      <x:c r="F21" s="26" t="n">
        <x:f>SUM('Financials'!I29:L29)/1000000</x:f>
        <x:v>5.712540921652719</x:v>
      </x:c>
      <x:c r="G21" s="26" t="n">
        <x:f>SUM('Financials'!M29:P29)/1000000</x:f>
        <x:v>19.624440162514603</x:v>
      </x:c>
      <x:c r="H21" s="26" t="n">
        <x:f>SUM('Financials'!Q29:T29)/1000000</x:f>
        <x:v>45.418381677829395</x:v>
      </x:c>
      <x:c r="I21" s="3"/>
      <x:c r="J21" s="3"/>
      <x:c r="K21" s="3"/>
      <x:c r="L21" s="3"/>
    </x:row>
    <x:row r="22" ht="28" customHeight="1">
      <x:c r="A22" s="2"/>
      <x:c r="B22" s="2"/>
      <x:c r="C22" s="32" t="str">
        <x:v>Total operating expense incl. D&amp;A, EUR m</x:v>
      </x:c>
      <x:c r="D22" s="26" t="n">
        <x:f>(SUM('Financials'!D37:D37)+SUM('Financials'!D39:D39))/1000000</x:f>
        <x:v>0.3877873133333333</x:v>
      </x:c>
      <x:c r="E22" s="26" t="n">
        <x:f>(SUM('Financials'!E37:H37)+SUM('Financials'!E39:H39))/1000000</x:f>
        <x:v>5.365112226393067</x:v>
      </x:c>
      <x:c r="F22" s="26" t="n">
        <x:f>(SUM('Financials'!I37:L37)+SUM('Financials'!I39:L39))/1000000</x:f>
        <x:v>18.26719300519795</x:v>
      </x:c>
      <x:c r="G22" s="26" t="n">
        <x:f>(SUM('Financials'!M37:P37)+SUM('Financials'!M39:P39))/1000000</x:f>
        <x:v>51.57274987079944</x:v>
      </x:c>
      <x:c r="H22" s="26" t="n">
        <x:f>(SUM('Financials'!Q37:T37)+SUM('Financials'!Q39:T39))/1000000</x:f>
        <x:v>111.89620975199418</x:v>
      </x:c>
      <x:c r="I22" s="3"/>
      <x:c r="J22" s="3"/>
      <x:c r="K22" s="3"/>
      <x:c r="L22" s="3"/>
    </x:row>
    <x:row r="23" ht="28" customHeight="1">
      <x:c r="A23" s="2"/>
      <x:c r="B23" s="2"/>
      <x:c r="C23" s="60" t="str">
        <x:v>Team at year end</x:v>
      </x:c>
      <x:c r="D23" s="40" t="n">
        <x:f>'People'!D12</x:f>
        <x:v>8</x:v>
      </x:c>
      <x:c r="E23" s="40" t="n">
        <x:f>'People'!H12</x:f>
        <x:v>46</x:v>
      </x:c>
      <x:c r="F23" s="40" t="n">
        <x:f>'People'!L12</x:f>
        <x:v>140</x:v>
      </x:c>
      <x:c r="G23" s="40" t="n">
        <x:f>'People'!P12</x:f>
        <x:v>350</x:v>
      </x:c>
      <x:c r="H23" s="40" t="n">
        <x:f>'People'!T12</x:f>
        <x:v>635</x:v>
      </x:c>
      <x:c r="I23" s="3"/>
      <x:c r="J23" s="3"/>
      <x:c r="K23" s="3"/>
      <x:c r="L23" s="3"/>
    </x:row>
    <x:row r="24" ht="28" customHeight="1">
      <x:c r="A24" s="2"/>
      <x:c r="B24" s="2"/>
      <x:c r="C24" s="32" t="str">
        <x:v>Gross margin</x:v>
      </x:c>
      <x:c r="D24" s="23" t="n">
        <x:f>IF(D17=0,0,SUM('Financials'!D15:D15)/(D17*1000000))</x:f>
        <x:v>0</x:v>
      </x:c>
      <x:c r="E24" s="23" t="n">
        <x:f>IF(E17=0,0,SUM('Financials'!E15:H15)/(E17*1000000))</x:f>
        <x:v>0.24925666977133426</x:v>
      </x:c>
      <x:c r="F24" s="23" t="n">
        <x:f>IF(F17=0,0,SUM('Financials'!I15:L15)/(F17*1000000))</x:f>
        <x:v>0.5357751622459784</x:v>
      </x:c>
      <x:c r="G24" s="23" t="n">
        <x:f>IF(G17=0,0,SUM('Financials'!M15:P15)/(G17*1000000))</x:f>
        <x:v>0.7423447400676866</x:v>
      </x:c>
      <x:c r="H24" s="23" t="n">
        <x:f>IF(H17=0,0,SUM('Financials'!Q15:T15)/(H17*1000000))</x:f>
        <x:v>0.8034393190876247</x:v>
      </x:c>
      <x:c r="I24" s="3"/>
      <x:c r="J24" s="3"/>
      <x:c r="K24" s="3"/>
      <x:c r="L24" s="3"/>
    </x:row>
    <x:row r="25" ht="28" customHeight="1">
      <x:c r="A25" s="2"/>
      <x:c r="B25" s="2"/>
      <x:c r="C25" s="32" t="str">
        <x:v>Bare funding need to date, EUR m</x:v>
      </x:c>
      <x:c r="D25" s="26" t="n">
        <x:f>MAX('Financials'!$D$53:D53)/1000000</x:f>
        <x:v>0.41345398</x:v>
      </x:c>
      <x:c r="E25" s="26" t="n">
        <x:f>MAX('Financials'!$D$53:H53)/1000000</x:f>
        <x:v>4.710267229358162</x:v>
      </x:c>
      <x:c r="F25" s="26" t="n">
        <x:f>MAX('Financials'!$D$53:L53)/1000000</x:f>
        <x:v>16.30876234524402</x:v>
      </x:c>
      <x:c r="G25" s="26" t="n">
        <x:f>MAX('Financials'!$D$53:P53)/1000000</x:f>
        <x:v>29.715875893150606</x:v>
      </x:c>
      <x:c r="H25" s="26" t="n">
        <x:f>MAX('Financials'!$D$53:T53)/1000000</x:f>
        <x:v>30.972845100631623</x:v>
      </x:c>
      <x:c r="I25" s="3"/>
      <x:c r="J25" s="3"/>
      <x:c r="K25" s="3"/>
      <x:c r="L25" s="3"/>
    </x:row>
    <x:row r="26" ht="28" customHeight="1">
      <x:c r="A26" s="2"/>
      <x:c r="B26" s="2"/>
      <x:c r="C26" s="60" t="str">
        <x:v>Funding need incl. reserve to date, EUR m</x:v>
      </x:c>
      <x:c r="D26" s="48" t="n">
        <x:f>MAX('Financials'!$D$55:D55)/1000000</x:f>
        <x:v>0.79890796</x:v>
      </x:c>
      <x:c r="E26" s="48" t="n">
        <x:f>MAX('Financials'!$D$55:H55)/1000000</x:f>
        <x:v>6.537957538573034</x:v>
      </x:c>
      <x:c r="F26" s="48" t="n">
        <x:f>MAX('Financials'!$D$55:L55)/1000000</x:f>
        <x:v>22.295873850143558</x:v>
      </x:c>
      <x:c r="G26" s="48" t="n">
        <x:f>MAX('Financials'!$D$55:P55)/1000000</x:f>
        <x:v>46.2935782711809</x:v>
      </x:c>
      <x:c r="H26" s="48" t="n">
        <x:f>MAX('Financials'!$D$55:T55)/1000000</x:f>
        <x:v>52.61588558613903</x:v>
      </x:c>
      <x:c r="I26" s="3"/>
      <x:c r="J26" s="3"/>
      <x:c r="K26" s="3"/>
      <x:c r="L26" s="3"/>
    </x:row>
    <x:row r="27" ht="28" customHeight="1">
      <x:c r="A27" s="2"/>
      <x:c r="B27" s="2"/>
      <x:c r="C27" s="32" t="str">
        <x:v>Planned net funding to date, EUR m</x:v>
      </x:c>
      <x:c r="D27" s="26" t="n">
        <x:f>'Funding'!D13/1000000</x:f>
        <x:v>0.975</x:v>
      </x:c>
      <x:c r="E27" s="26" t="n">
        <x:f>'Funding'!H13/1000000</x:f>
        <x:v>5.85</x:v>
      </x:c>
      <x:c r="F27" s="26" t="n">
        <x:f>'Funding'!L13/1000000</x:f>
        <x:v>27.3</x:v>
      </x:c>
      <x:c r="G27" s="26" t="n">
        <x:f>'Funding'!P13/1000000</x:f>
        <x:v>27.3</x:v>
      </x:c>
      <x:c r="H27" s="26" t="n">
        <x:f>'Funding'!T13/1000000</x:f>
        <x:v>27.3</x:v>
      </x:c>
      <x:c r="I27" s="3"/>
      <x:c r="J27" s="3"/>
      <x:c r="K27" s="3"/>
      <x:c r="L27" s="3"/>
    </x:row>
    <x:row r="28" ht="28" customHeight="1">
      <x:c r="A28" s="2"/>
      <x:c r="B28" s="2"/>
      <x:c r="C28" s="32" t="str">
        <x:v>Closing cash after planned funding, EUR m</x:v>
      </x:c>
      <x:c r="D28" s="26" t="n">
        <x:f>'Financials'!D51/1000000</x:f>
        <x:v>0.56154602</x:v>
      </x:c>
      <x:c r="E28" s="26" t="n">
        <x:f>'Financials'!H51/1000000</x:f>
        <x:v>1.1397327706418379</x:v>
      </x:c>
      <x:c r="F28" s="26" t="n">
        <x:f>'Financials'!L51/1000000</x:f>
        <x:v>10.99123765475598</x:v>
      </x:c>
      <x:c r="G28" s="26" t="n">
        <x:f>'Financials'!P51/1000000</x:f>
        <x:v>-2.4158758931506052</x:v>
      </x:c>
      <x:c r="H28" s="26" t="n">
        <x:f>'Financials'!T51/1000000</x:f>
        <x:v>22.72545731539667</x:v>
      </x:c>
      <x:c r="I28" s="3"/>
      <x:c r="J28" s="3"/>
      <x:c r="K28" s="3"/>
      <x:c r="L28" s="3"/>
    </x:row>
    <x:row r="29" ht="28" customHeight="1">
      <x:c r="A29" s="2"/>
      <x:c r="B29" s="2"/>
      <x:c r="C29" s="32"/>
      <x:c r="D29" s="3"/>
      <x:c r="E29" s="3"/>
      <x:c r="F29" s="3"/>
      <x:c r="G29" s="3"/>
      <x:c r="H29" s="3"/>
      <x:c r="I29" s="3"/>
      <x:c r="J29" s="3"/>
      <x:c r="K29" s="3"/>
      <x:c r="L29" s="3"/>
    </x:row>
    <x:row r="30" ht="28" customHeight="1">
      <x:c r="A30" s="2"/>
      <x:c r="B30" s="2"/>
      <x:c r="C30" s="60" t="str">
        <x:v>Mapping compute, DKK / new employee</x:v>
      </x:c>
      <x:c r="D30" s="40" t="n">
        <x:f>'Compute'!D61</x:f>
        <x:v>137.01192433619602</x:v>
      </x:c>
      <x:c r="E30" s="40" t="n">
        <x:f>'Compute'!E61</x:f>
        <x:v>135.87114867794</x:v>
      </x:c>
      <x:c r="F30" s="40" t="n">
        <x:f>'Compute'!F61</x:f>
        <x:v>123.4543309381</x:v>
      </x:c>
      <x:c r="G30" s="40" t="n">
        <x:f>'Compute'!G61</x:f>
        <x:v>111.70352817822801</x:v>
      </x:c>
      <x:c r="H30" s="40" t="n">
        <x:f>'Compute'!H61</x:f>
        <x:v>105.66797613736966</x:v>
      </x:c>
      <x:c r="I30" s="3"/>
      <x:c r="J30" s="3"/>
      <x:c r="K30" s="3"/>
      <x:c r="L30" s="3"/>
    </x:row>
    <x:row r="31" ht="28" customHeight="1">
      <x:c r="A31" s="2"/>
      <x:c r="B31" s="2"/>
      <x:c r="C31" s="32" t="str">
        <x:v>Recurring Map technical cost incl. tenant, DKK</x:v>
      </x:c>
      <x:c r="D31" s="3" t="n">
        <x:f>'Compute'!D80</x:f>
        <x:v>128.851726747467</x:v>
      </x:c>
      <x:c r="E31" s="3" t="n">
        <x:f>'Compute'!E80</x:f>
        <x:v>93.5844758383761</x:v>
      </x:c>
      <x:c r="F31" s="3" t="n">
        <x:f>'Compute'!F80</x:f>
        <x:v>70.02594798830103</x:v>
      </x:c>
      <x:c r="G31" s="3" t="n">
        <x:f>'Compute'!G80</x:f>
        <x:v>67.36517165876687</x:v>
      </x:c>
      <x:c r="H31" s="3" t="n">
        <x:f>'Compute'!H80</x:f>
        <x:v>59.7900846436573</x:v>
      </x:c>
      <x:c r="I31" s="3"/>
      <x:c r="J31" s="3"/>
      <x:c r="K31" s="3"/>
      <x:c r="L31" s="3"/>
    </x:row>
    <x:row r="32" ht="28" customHeight="1">
      <x:c r="A32" s="2"/>
      <x:c r="B32" s="2"/>
      <x:c r="C32" s="32" t="str">
        <x:v>Recurring Connected technical cost incl. tenant, DKK</x:v>
      </x:c>
      <x:c r="D32" s="3" t="n">
        <x:f>'Compute'!D81</x:f>
        <x:v>152.909267848203</x:v>
      </x:c>
      <x:c r="E32" s="3" t="n">
        <x:f>'Compute'!E81</x:f>
        <x:v>117.6420169391121</x:v>
      </x:c>
      <x:c r="F32" s="3" t="n">
        <x:f>'Compute'!F81</x:f>
        <x:v>92.2574765899047</x:v>
      </x:c>
      <x:c r="G32" s="3" t="n">
        <x:f>'Compute'!G81</x:f>
        <x:v>86.85768151167201</x:v>
      </x:c>
      <x:c r="H32" s="3" t="n">
        <x:f>'Compute'!H81</x:f>
        <x:v>77.4565819974301</x:v>
      </x:c>
      <x:c r="I32" s="3"/>
      <x:c r="J32" s="3"/>
      <x:c r="K32" s="3"/>
      <x:c r="L32" s="3"/>
    </x:row>
    <x:row r="33" ht="28" customHeight="1">
      <x:c r="A33" s="2"/>
      <x:c r="B33" s="2"/>
      <x:c r="C33" s="32" t="str">
        <x:v>Shared model development, EUR m</x:v>
      </x:c>
      <x:c r="D33" s="26" t="n">
        <x:f>'Compute'!D77/1000000</x:f>
        <x:v>0.05970398</x:v>
      </x:c>
      <x:c r="E33" s="26" t="n">
        <x:f>'Compute'!E77/1000000</x:f>
        <x:v>0.24703979999999998</x:v>
      </x:c>
      <x:c r="F33" s="26" t="n">
        <x:f>'Compute'!F77/1000000</x:f>
        <x:v>0.6911194</x:v>
      </x:c>
      <x:c r="G33" s="26" t="n">
        <x:f>'Compute'!G77/1000000</x:f>
        <x:v>1.6277985</x:v>
      </x:c>
      <x:c r="H33" s="26" t="n">
        <x:f>'Compute'!H77/1000000</x:f>
        <x:v>3.255597</x:v>
      </x:c>
      <x:c r="I33" s="3"/>
      <x:c r="J33" s="3"/>
      <x:c r="K33" s="3"/>
      <x:c r="L33" s="3"/>
    </x:row>
    <x:row r="34" ht="28" customHeight="1">
      <x:c r="A34" s="2"/>
      <x:c r="B34" s="2"/>
      <x:c r="C34" s="32"/>
      <x:c r="D34" s="3"/>
      <x:c r="E34" s="3"/>
      <x:c r="F34" s="3"/>
      <x:c r="G34" s="3"/>
      <x:c r="H34" s="3"/>
      <x:c r="I34" s="3"/>
      <x:c r="J34" s="3"/>
      <x:c r="K34" s="3"/>
      <x:c r="L34" s="3"/>
    </x:row>
    <x:row r="35" ht="28" customHeight="1">
      <x:c r="A35" s="2"/>
      <x:c r="B35" s="2"/>
      <x:c r="C35" s="32" t="str">
        <x:v>New Map annual contract, EUR k</x:v>
      </x:c>
      <x:c r="D35" s="26" t="n">
        <x:f>'Pricing'!D36/1000</x:f>
        <x:v>13.390738809551255</x:v>
      </x:c>
      <x:c r="E35" s="26" t="n">
        <x:f>'Pricing'!E36/1000</x:f>
        <x:v>20.285159737171565</x:v>
      </x:c>
      <x:c r="F35" s="26" t="n">
        <x:f>'Pricing'!F36/1000</x:f>
        <x:v>31.024894174291394</x:v>
      </x:c>
      <x:c r="G35" s="26" t="n">
        <x:f>'Pricing'!G36/1000</x:f>
        <x:v>34.47210463810155</x:v>
      </x:c>
      <x:c r="H35" s="26" t="n">
        <x:f>'Pricing'!H36/1000</x:f>
        <x:v>41.562896259976036</x:v>
      </x:c>
      <x:c r="I35" s="3"/>
      <x:c r="J35" s="3"/>
      <x:c r="K35" s="3"/>
      <x:c r="L35" s="3"/>
    </x:row>
    <x:row r="36" ht="28" customHeight="1">
      <x:c r="A36" s="2"/>
      <x:c r="B36" s="2"/>
      <x:c r="C36" s="32" t="str">
        <x:v>Blended acquisition cost, EUR k</x:v>
      </x:c>
      <x:c r="D36" s="26" t="n">
        <x:f>'Financials'!D60/1000</x:f>
        <x:v>0</x:v>
      </x:c>
      <x:c r="E36" s="26" t="n">
        <x:f>'Financials'!H60/1000</x:f>
        <x:v>49.614630075394274</x:v>
      </x:c>
      <x:c r="F36" s="26" t="n">
        <x:f>'Financials'!L60/1000</x:f>
        <x:v>73.6819114079373</x:v>
      </x:c>
      <x:c r="G36" s="26" t="n">
        <x:f>'Financials'!P60/1000</x:f>
        <x:v>53.294691815508656</x:v>
      </x:c>
      <x:c r="H36" s="26" t="n">
        <x:f>'Financials'!T60/1000</x:f>
        <x:v>44.65112832564104</x:v>
      </x:c>
      <x:c r="I36" s="3"/>
      <x:c r="J36" s="3"/>
      <x:c r="K36" s="3"/>
      <x:c r="L36" s="3"/>
    </x:row>
    <x:row r="37" ht="28" customHeight="1">
      <x:c r="A37" s="2"/>
      <x:c r="B37" s="2"/>
      <x:c r="C37" s="32" t="str">
        <x:v>Subscription-only CAC payback, months</x:v>
      </x:c>
      <x:c r="D37" s="26" t="n">
        <x:f>'Financials'!D62</x:f>
        <x:v>0</x:v>
      </x:c>
      <x:c r="E37" s="26" t="n">
        <x:f>'Financials'!H62</x:f>
        <x:v>36.269402445986884</x:v>
      </x:c>
      <x:c r="F37" s="26" t="n">
        <x:f>'Financials'!L62</x:f>
        <x:v>33.04198320406796</x:v>
      </x:c>
      <x:c r="G37" s="26" t="n">
        <x:f>'Financials'!P62</x:f>
        <x:v>21.080757299050564</x:v>
      </x:c>
      <x:c r="H37" s="26" t="n">
        <x:f>'Financials'!T62</x:f>
        <x:v>14.358507857078713</x:v>
      </x:c>
      <x:c r="I37" s="3"/>
      <x:c r="J37" s="3"/>
      <x:c r="K37" s="3"/>
      <x:c r="L37" s="3"/>
    </x:row>
    <x:row r="38" ht="28" customHeight="1">
      <x:c r="A38" s="2"/>
      <x:c r="B38" s="2"/>
      <x:c r="C38" s="32" t="str">
        <x:v>Productive AE-year shortfall vs target</x:v>
      </x:c>
      <x:c r="D38" s="26" t="n">
        <x:f>'Sales'!D47</x:f>
        <x:v>0</x:v>
      </x:c>
      <x:c r="E38" s="26" t="n">
        <x:f>'Sales'!H47</x:f>
        <x:v>0</x:v>
      </x:c>
      <x:c r="F38" s="26" t="n">
        <x:f>'Sales'!L47</x:f>
        <x:v>0</x:v>
      </x:c>
      <x:c r="G38" s="26" t="n">
        <x:f>'Sales'!P47</x:f>
        <x:v>0</x:v>
      </x:c>
      <x:c r="H38" s="26" t="n">
        <x:f>'Sales'!T47</x:f>
        <x:v>0</x:v>
      </x:c>
      <x:c r="I38" s="3"/>
      <x:c r="J38" s="3"/>
      <x:c r="K38" s="3"/>
      <x:c r="L38" s="3"/>
    </x:row>
    <x:row r="39" ht="25" customHeight="1">
      <x:c r="A39" s="2"/>
      <x:c r="B39" s="2"/>
      <x:c r="C39" s="32"/>
      <x:c r="D39" s="3"/>
      <x:c r="E39" s="3"/>
      <x:c r="F39" s="3"/>
      <x:c r="G39" s="3"/>
      <x:c r="H39" s="3"/>
      <x:c r="I39" s="3"/>
      <x:c r="J39" s="3"/>
      <x:c r="K39" s="3"/>
      <x:c r="L39" s="3"/>
    </x:row>
    <x:row r="40" ht="25" customHeight="1">
      <x:c r="A40" s="2"/>
      <x:c r="B40" s="2"/>
      <x:c r="C40" s="32"/>
      <x:c r="D40" s="3"/>
      <x:c r="E40" s="3"/>
      <x:c r="F40" s="3"/>
      <x:c r="G40" s="3"/>
      <x:c r="H40" s="3"/>
      <x:c r="I40" s="3"/>
      <x:c r="J40" s="3"/>
      <x:c r="K40" s="3"/>
      <x:c r="L40" s="3"/>
    </x:row>
    <x:row r="41" ht="42" customHeight="1">
      <x:c r="A41" s="2"/>
      <x:c r="B41" s="2"/>
      <x:c r="C41" s="36" t="str">
        <x:v>Base targets five paid design-partner signatures in Q4 2026, 25 active platform customers by year-end 2027 and 1,292 by 2030. Demand, conversion and delivery capacity constrain the result. Change cases in Inputs!E3.</x:v>
      </x:c>
      <x:c r="D41" s="18"/>
      <x:c r="E41" s="18"/>
      <x:c r="F41" s="18"/>
      <x:c r="G41" s="18"/>
      <x:c r="H41" s="18"/>
      <x:c r="I41" s="3"/>
      <x:c r="J41" s="3"/>
      <x:c r="K41" s="3"/>
      <x:c r="L41" s="3"/>
    </x:row>
    <x:row r="42" ht="25" customHeight="1">
      <x:c r="A42" s="2"/>
      <x:c r="B42" s="2"/>
      <x:c r="C42" s="32"/>
      <x:c r="D42" s="3"/>
      <x:c r="E42" s="3"/>
      <x:c r="F42" s="3"/>
      <x:c r="G42" s="3"/>
      <x:c r="H42" s="3"/>
      <x:c r="I42" s="3"/>
      <x:c r="J42" s="3"/>
      <x:c r="K42" s="3"/>
      <x:c r="L42" s="3"/>
    </x:row>
    <x:row r="43" ht="42" customHeight="1">
      <x:c r="A43" s="2"/>
      <x:c r="B43" s="2"/>
      <x:c r="C43" s="36" t="str">
        <x:v>Mapping is a separately priced one-time deliverable. Platform subscriptions begin at activation. ARR contains subscriptions only. Full-price mapping sales and distinct-deliverable accounting require validation.</x:v>
      </x:c>
      <x:c r="D43" s="18"/>
      <x:c r="E43" s="18"/>
      <x:c r="F43" s="18"/>
      <x:c r="G43" s="18"/>
      <x:c r="H43" s="18"/>
      <x:c r="I43" s="3"/>
      <x:c r="J43" s="3"/>
      <x:c r="K43" s="3"/>
      <x:c r="L43" s="3"/>
    </x:row>
    <x:row r="44" ht="25" customHeight="1">
      <x:c r="A44" s="2"/>
      <x:c r="B44" s="2"/>
      <x:c r="C44" s="32"/>
      <x:c r="D44" s="3"/>
      <x:c r="E44" s="3"/>
      <x:c r="F44" s="3"/>
      <x:c r="G44" s="3"/>
      <x:c r="H44" s="3"/>
      <x:c r="I44" s="3"/>
      <x:c r="J44" s="3"/>
      <x:c r="K44" s="3"/>
      <x:c r="L44" s="3"/>
    </x:row>
    <x:row r="45" ht="42" customHeight="1">
      <x:c r="A45" s="2"/>
      <x:c r="B45" s="2"/>
      <x:c r="C45" s="36" t="str">
        <x:v>Funding figures are before corporate tax and VAT. Planned rounds include 2.5% financing fees. Series B is conditional on multi-market sales productivity and connected adoption.</x:v>
      </x:c>
      <x:c r="D45" s="18"/>
      <x:c r="E45" s="18"/>
      <x:c r="F45" s="18"/>
      <x:c r="G45" s="18"/>
      <x:c r="H45" s="18"/>
      <x:c r="I45" s="3"/>
      <x:c r="J45" s="3"/>
      <x:c r="K45" s="3"/>
      <x:c r="L45" s="3"/>
    </x:row>
    <x:row r="46" ht="25" customHeight="1">
      <x:c r="A46" s="2"/>
      <x:c r="B46" s="2"/>
      <x:c r="C46" s="32"/>
      <x:c r="D46" s="3"/>
      <x:c r="E46" s="3"/>
      <x:c r="F46" s="3"/>
      <x:c r="G46" s="3"/>
      <x:c r="H46" s="3"/>
      <x:c r="I46" s="3"/>
      <x:c r="J46" s="3"/>
      <x:c r="K46" s="3"/>
      <x:c r="L46" s="3"/>
    </x:row>
    <x:row r="47" ht="25" customHeight="1">
      <x:c r="A47" s="2"/>
      <x:c r="B47" s="2"/>
      <x:c r="C47" s="32"/>
      <x:c r="D47" s="3"/>
      <x:c r="E47" s="3"/>
      <x:c r="F47" s="3"/>
      <x:c r="G47" s="3"/>
      <x:c r="H47" s="3"/>
      <x:c r="I47" s="3"/>
      <x:c r="J47" s="3"/>
      <x:c r="K47" s="3"/>
      <x:c r="L47" s="3"/>
    </x:row>
    <x:row r="48" ht="27" customHeight="1">
      <x:c r="A48" s="2"/>
      <x:c r="B48" s="2"/>
      <x:c r="C48" s="61" t="str">
        <x:v>Customer milestones and financial plan</x:v>
      </x:c>
      <x:c r="D48" s="15"/>
      <x:c r="E48" s="15"/>
      <x:c r="F48" s="15"/>
      <x:c r="G48" s="15"/>
      <x:c r="H48" s="15"/>
      <x:c r="I48" s="3"/>
      <x:c r="J48" s="3"/>
      <x:c r="K48" s="3"/>
      <x:c r="L48" s="3"/>
    </x:row>
    <x:row r="49" ht="25" customHeight="1">
      <x:c r="A49" s="2"/>
      <x:c r="B49" s="2"/>
      <x:c r="C49" s="32" t="str">
        <x:v>Year</x:v>
      </x:c>
      <x:c r="D49" s="3" t="str">
        <x:v>Forecast customers</x:v>
      </x:c>
      <x:c r="E49" s="3" t="str">
        <x:v>Agreed milestone</x:v>
      </x:c>
      <x:c r="F49" s="3" t="str">
        <x:v>Revenue EUR m</x:v>
      </x:c>
      <x:c r="G49" s="3" t="str">
        <x:v>EBIT EUR m</x:v>
      </x:c>
      <x:c r="H49" s="3"/>
      <x:c r="I49" s="3"/>
      <x:c r="J49" s="3"/>
      <x:c r="K49" s="3"/>
      <x:c r="L49" s="3"/>
    </x:row>
    <x:row r="50" ht="25" customHeight="1">
      <x:c r="A50" s="2"/>
      <x:c r="B50" s="2"/>
      <x:c r="C50" s="32" t="str">
        <x:v>2026 Q4</x:v>
      </x:c>
      <x:c r="D50" s="3" t="n">
        <x:f>D8</x:f>
        <x:v>0</x:v>
      </x:c>
      <x:c r="E50" s="3" t="n">
        <x:f>D7</x:f>
        <x:v>0</x:v>
      </x:c>
      <x:c r="F50" s="26" t="n">
        <x:f>D17</x:f>
        <x:v>0</x:v>
      </x:c>
      <x:c r="G50" s="26" t="n">
        <x:f>D18</x:f>
        <x:v>-0.3877873133333333</x:v>
      </x:c>
      <x:c r="H50" s="3"/>
      <x:c r="I50" s="3"/>
      <x:c r="J50" s="3"/>
      <x:c r="K50" s="3"/>
      <x:c r="L50" s="3"/>
    </x:row>
    <x:row r="51" ht="25" customHeight="1">
      <x:c r="A51" s="2"/>
      <x:c r="B51" s="2"/>
      <x:c r="C51" s="32" t="str">
        <x:v>2027</x:v>
      </x:c>
      <x:c r="D51" s="3" t="n">
        <x:f>E8</x:f>
        <x:v>25</x:v>
      </x:c>
      <x:c r="E51" s="3" t="n">
        <x:f>E7</x:f>
        <x:v>25</x:v>
      </x:c>
      <x:c r="F51" s="26" t="n">
        <x:f>E17</x:f>
        <x:v>1.170893020864889</x:v>
      </x:c>
      <x:c r="G51" s="26" t="n">
        <x:f>E18</x:f>
        <x:v>-4.194219205528178</x:v>
      </x:c>
      <x:c r="H51" s="3"/>
      <x:c r="I51" s="3"/>
      <x:c r="J51" s="3"/>
      <x:c r="K51" s="3"/>
      <x:c r="L51" s="3"/>
    </x:row>
    <x:row r="52" ht="25" customHeight="1">
      <x:c r="A52" s="2"/>
      <x:c r="B52" s="2"/>
      <x:c r="C52" s="32" t="str">
        <x:v>2028</x:v>
      </x:c>
      <x:c r="D52" s="3" t="n">
        <x:f>F8</x:f>
        <x:v>97.00000000000001</x:v>
      </x:c>
      <x:c r="E52" s="3" t="n">
        <x:f>F7</x:f>
        <x:v>97</x:v>
      </x:c>
      <x:c r="F52" s="26" t="n">
        <x:f>F17</x:f>
        <x:v>7.253252252728538</x:v>
      </x:c>
      <x:c r="G52" s="26" t="n">
        <x:f>F18</x:f>
        <x:v>-11.013940752469411</x:v>
      </x:c>
      <x:c r="H52" s="3"/>
      <x:c r="I52" s="3"/>
      <x:c r="J52" s="3"/>
      <x:c r="K52" s="3"/>
      <x:c r="L52" s="3"/>
    </x:row>
    <x:row r="53" ht="25" customHeight="1">
      <x:c r="A53" s="2"/>
      <x:c r="B53" s="2"/>
      <x:c r="C53" s="32" t="str">
        <x:v>2029</x:v>
      </x:c>
      <x:c r="D53" s="3" t="n">
        <x:f>G8</x:f>
        <x:v>431.5437500000001</x:v>
      </x:c>
      <x:c r="E53" s="3" t="n">
        <x:f>G7</x:f>
        <x:v>432</x:v>
      </x:c>
      <x:c r="F53" s="26" t="n">
        <x:f>G17</x:f>
        <x:v>39.71418554637549</x:v>
      </x:c>
      <x:c r="G53" s="26" t="n">
        <x:f>G18</x:f>
        <x:v>-11.858564324423947</x:v>
      </x:c>
      <x:c r="H53" s="3"/>
      <x:c r="I53" s="3"/>
      <x:c r="J53" s="3"/>
      <x:c r="K53" s="3"/>
      <x:c r="L53" s="3"/>
    </x:row>
    <x:row r="54" ht="25" customHeight="1">
      <x:c r="A54" s="2"/>
      <x:c r="B54" s="2"/>
      <x:c r="C54" s="32" t="str">
        <x:v>2030</x:v>
      </x:c>
      <x:c r="D54" s="3" t="n">
        <x:f>H8</x:f>
        <x:v>1292</x:v>
      </x:c>
      <x:c r="E54" s="3" t="n">
        <x:f>H7</x:f>
        <x:v>1292</x:v>
      </x:c>
      <x:c r="F54" s="26" t="n">
        <x:f>H17</x:f>
        <x:v>133.25923012170603</x:v>
      </x:c>
      <x:c r="G54" s="26" t="n">
        <x:f>H18</x:f>
        <x:v>21.363020369711847</x:v>
      </x:c>
      <x:c r="H54" s="3"/>
      <x:c r="I54" s="3"/>
      <x:c r="J54" s="3"/>
      <x:c r="K54" s="3"/>
      <x:c r="L54" s="3"/>
    </x:row>
    <x:row r="55" ht="25" customHeight="1">
      <x:c r="A55" s="2"/>
      <x:c r="B55" s="2"/>
      <x:c r="C55" s="32"/>
      <x:c r="D55" s="3"/>
      <x:c r="E55" s="3"/>
      <x:c r="F55" s="3"/>
      <x:c r="G55" s="3"/>
      <x:c r="H55" s="3"/>
      <x:c r="I55" s="3"/>
      <x:c r="J55" s="3"/>
      <x:c r="K55" s="3"/>
      <x:c r="L55" s="3"/>
    </x:row>
    <x:row r="56" ht="25" customHeight="1">
      <x:c r="A56" s="2"/>
      <x:c r="B56" s="2"/>
      <x:c r="C56" s="32"/>
      <x:c r="D56" s="3"/>
      <x:c r="E56" s="3"/>
      <x:c r="F56" s="3"/>
      <x:c r="G56" s="3"/>
      <x:c r="H56" s="3"/>
      <x:c r="I56" s="3"/>
      <x:c r="J56" s="3"/>
      <x:c r="K56" s="3"/>
      <x:c r="L56" s="3"/>
    </x:row>
    <x:row r="57" ht="25" customHeight="1">
      <x:c r="A57" s="2"/>
      <x:c r="B57" s="2"/>
      <x:c r="C57" s="32"/>
      <x:c r="D57" s="3"/>
      <x:c r="E57" s="3"/>
      <x:c r="F57" s="3"/>
      <x:c r="G57" s="3"/>
      <x:c r="H57" s="3"/>
      <x:c r="I57" s="3"/>
      <x:c r="J57" s="3"/>
      <x:c r="K57" s="3"/>
      <x:c r="L57" s="3"/>
    </x:row>
    <x:row r="58" ht="25" customHeight="1">
      <x:c r="A58" s="2"/>
      <x:c r="B58" s="2"/>
      <x:c r="C58" s="32"/>
      <x:c r="D58" s="3"/>
      <x:c r="E58" s="3"/>
      <x:c r="F58" s="3"/>
      <x:c r="G58" s="3"/>
      <x:c r="H58" s="3"/>
      <x:c r="I58" s="3"/>
      <x:c r="J58" s="3"/>
      <x:c r="K58" s="3"/>
      <x:c r="L58" s="3"/>
    </x:row>
    <x:row r="59" ht="25" customHeight="1">
      <x:c r="A59" s="2"/>
      <x:c r="B59" s="2"/>
      <x:c r="C59" s="32"/>
      <x:c r="D59" s="3"/>
      <x:c r="E59" s="3"/>
      <x:c r="F59" s="3"/>
      <x:c r="G59" s="3"/>
      <x:c r="H59" s="3"/>
      <x:c r="I59" s="3"/>
      <x:c r="J59" s="3"/>
      <x:c r="K59" s="3"/>
      <x:c r="L59" s="3"/>
    </x:row>
    <x:row r="60" ht="25" customHeight="1">
      <x:c r="A60" s="2"/>
      <x:c r="B60" s="2"/>
      <x:c r="C60" s="32"/>
      <x:c r="D60" s="3"/>
      <x:c r="E60" s="3"/>
      <x:c r="F60" s="3"/>
      <x:c r="G60" s="3"/>
      <x:c r="H60" s="3"/>
      <x:c r="I60" s="3"/>
      <x:c r="J60" s="3"/>
      <x:c r="K60" s="3"/>
      <x:c r="L60" s="3"/>
    </x:row>
    <x:row r="61" ht="25" customHeight="1">
      <x:c r="A61" s="2"/>
      <x:c r="B61" s="2"/>
      <x:c r="C61" s="32"/>
      <x:c r="D61" s="3"/>
      <x:c r="E61" s="3"/>
      <x:c r="F61" s="3"/>
      <x:c r="G61" s="3"/>
      <x:c r="H61" s="3"/>
      <x:c r="I61" s="3"/>
      <x:c r="J61" s="3"/>
      <x:c r="K61" s="3"/>
      <x:c r="L61" s="3"/>
    </x:row>
    <x:row r="62" ht="25" customHeight="1">
      <x:c r="A62" s="2"/>
      <x:c r="B62" s="2"/>
      <x:c r="C62" s="32"/>
      <x:c r="D62" s="3"/>
      <x:c r="E62" s="3"/>
      <x:c r="F62" s="3"/>
      <x:c r="G62" s="3"/>
      <x:c r="H62" s="3"/>
      <x:c r="I62" s="3"/>
      <x:c r="J62" s="3"/>
      <x:c r="K62" s="3"/>
      <x:c r="L62" s="3"/>
    </x:row>
    <x:row r="63" ht="25" customHeight="1">
      <x:c r="A63" s="2"/>
      <x:c r="B63" s="2"/>
      <x:c r="C63" s="32"/>
      <x:c r="D63" s="3"/>
      <x:c r="E63" s="3"/>
      <x:c r="F63" s="3"/>
      <x:c r="G63" s="3"/>
      <x:c r="H63" s="3"/>
      <x:c r="I63" s="3"/>
      <x:c r="J63" s="3"/>
      <x:c r="K63" s="3"/>
      <x:c r="L63" s="3"/>
    </x:row>
    <x:row r="64" ht="25" customHeight="1">
      <x:c r="A64" s="2"/>
      <x:c r="B64" s="2"/>
      <x:c r="C64" s="32"/>
      <x:c r="D64" s="3"/>
      <x:c r="E64" s="3"/>
      <x:c r="F64" s="3"/>
      <x:c r="G64" s="3"/>
      <x:c r="H64" s="3"/>
      <x:c r="I64" s="3"/>
      <x:c r="J64" s="3"/>
      <x:c r="K64" s="3"/>
      <x:c r="L64" s="3"/>
    </x:row>
    <x:row r="65" ht="25" customHeight="1">
      <x:c r="A65" s="2"/>
      <x:c r="B65" s="2"/>
      <x:c r="C65" s="32"/>
      <x:c r="D65" s="3"/>
      <x:c r="E65" s="3"/>
      <x:c r="F65" s="3"/>
      <x:c r="G65" s="3"/>
      <x:c r="H65" s="3"/>
      <x:c r="I65" s="3"/>
      <x:c r="J65" s="3"/>
      <x:c r="K65" s="3"/>
      <x:c r="L65" s="3"/>
    </x:row>
    <x:row r="66" ht="25" customHeight="1">
      <x:c r="A66" s="2"/>
      <x:c r="B66" s="2"/>
      <x:c r="C66" s="32"/>
      <x:c r="D66" s="3"/>
      <x:c r="E66" s="3"/>
      <x:c r="F66" s="3"/>
      <x:c r="G66" s="3"/>
      <x:c r="H66" s="3"/>
      <x:c r="I66" s="3"/>
      <x:c r="J66" s="3"/>
      <x:c r="K66" s="3"/>
      <x:c r="L66" s="3"/>
    </x:row>
    <x:row r="67" ht="25" customHeight="1">
      <x:c r="A67" s="2"/>
      <x:c r="B67" s="2"/>
      <x:c r="C67" s="32"/>
      <x:c r="D67" s="3"/>
      <x:c r="E67" s="3"/>
      <x:c r="F67" s="3"/>
      <x:c r="G67" s="3"/>
      <x:c r="H67" s="3"/>
      <x:c r="I67" s="3"/>
      <x:c r="J67" s="3"/>
      <x:c r="K67" s="3"/>
      <x:c r="L67" s="3"/>
    </x:row>
    <x:row r="68" ht="25" customHeight="1">
      <x:c r="A68" s="2"/>
      <x:c r="B68" s="2"/>
      <x:c r="C68" s="32"/>
      <x:c r="D68" s="3"/>
      <x:c r="E68" s="3"/>
      <x:c r="F68" s="3"/>
      <x:c r="G68" s="3"/>
      <x:c r="H68" s="3"/>
      <x:c r="I68" s="3"/>
      <x:c r="J68" s="3"/>
      <x:c r="K68" s="3"/>
      <x:c r="L68" s="3"/>
    </x:row>
    <x:row r="69" ht="25" customHeight="1">
      <x:c r="A69" s="2"/>
      <x:c r="B69" s="2"/>
      <x:c r="C69" s="32"/>
      <x:c r="D69" s="3"/>
      <x:c r="E69" s="3"/>
      <x:c r="F69" s="3"/>
      <x:c r="G69" s="3"/>
      <x:c r="H69" s="3"/>
      <x:c r="I69" s="3"/>
      <x:c r="J69" s="3"/>
      <x:c r="K69" s="3"/>
      <x:c r="L69" s="3"/>
    </x:row>
    <x:row r="70" ht="25" customHeight="1">
      <x:c r="A70" s="2"/>
      <x:c r="B70" s="2"/>
      <x:c r="C70" s="32"/>
      <x:c r="D70" s="3"/>
      <x:c r="E70" s="3"/>
      <x:c r="F70" s="3"/>
      <x:c r="G70" s="3"/>
      <x:c r="H70" s="3"/>
      <x:c r="I70" s="3"/>
      <x:c r="J70" s="3"/>
      <x:c r="K70" s="3"/>
      <x:c r="L70" s="3"/>
    </x:row>
    <x:row r="71" ht="25" customHeight="1">
      <x:c r="A71" s="2"/>
      <x:c r="B71" s="2"/>
      <x:c r="C71" s="32"/>
      <x:c r="D71" s="3"/>
      <x:c r="E71" s="3"/>
      <x:c r="F71" s="3"/>
      <x:c r="G71" s="3"/>
      <x:c r="H71" s="3"/>
      <x:c r="I71" s="3"/>
      <x:c r="J71" s="3"/>
      <x:c r="K71" s="3"/>
      <x:c r="L71" s="3"/>
    </x:row>
    <x:row r="72" ht="25" customHeight="1">
      <x:c r="A72" s="2"/>
      <x:c r="B72" s="2"/>
      <x:c r="C72" s="32"/>
      <x:c r="D72" s="3"/>
      <x:c r="E72" s="3"/>
      <x:c r="F72" s="3"/>
      <x:c r="G72" s="3"/>
      <x:c r="H72" s="3"/>
      <x:c r="I72" s="3"/>
      <x:c r="J72" s="3"/>
      <x:c r="K72" s="3"/>
      <x:c r="L72" s="3"/>
    </x:row>
    <x:row r="73" ht="25" customHeight="1">
      <x:c r="A73" s="2"/>
      <x:c r="B73" s="2"/>
      <x:c r="C73" s="32"/>
      <x:c r="D73" s="3"/>
      <x:c r="E73" s="3"/>
      <x:c r="F73" s="3"/>
      <x:c r="G73" s="3"/>
      <x:c r="H73" s="3"/>
      <x:c r="I73" s="3"/>
      <x:c r="J73" s="3"/>
      <x:c r="K73" s="3"/>
      <x:c r="L73" s="3"/>
    </x:row>
    <x:row r="74" ht="25" customHeight="1">
      <x:c r="A74" s="2"/>
      <x:c r="B74" s="2"/>
      <x:c r="C74" s="32"/>
      <x:c r="D74" s="3"/>
      <x:c r="E74" s="3"/>
      <x:c r="F74" s="3"/>
      <x:c r="G74" s="3"/>
      <x:c r="H74" s="3"/>
      <x:c r="I74" s="3"/>
      <x:c r="J74" s="3"/>
      <x:c r="K74" s="3"/>
      <x:c r="L74" s="3"/>
    </x:row>
    <x:row r="75" ht="25" customHeight="1">
      <x:c r="A75" s="2"/>
      <x:c r="B75" s="2"/>
      <x:c r="C75" s="32"/>
      <x:c r="D75" s="3"/>
      <x:c r="E75" s="3"/>
      <x:c r="F75" s="3"/>
      <x:c r="G75" s="3"/>
      <x:c r="H75" s="3"/>
      <x:c r="I75" s="3"/>
      <x:c r="J75" s="3"/>
      <x:c r="K75" s="3"/>
      <x:c r="L75" s="3"/>
    </x:row>
    <x:row r="76" ht="25" customHeight="1">
      <x:c r="A76" s="2"/>
      <x:c r="B76" s="2"/>
      <x:c r="C76" s="32"/>
      <x:c r="D76" s="3"/>
      <x:c r="E76" s="3"/>
      <x:c r="F76" s="3"/>
      <x:c r="G76" s="3"/>
      <x:c r="H76" s="3"/>
      <x:c r="I76" s="3"/>
      <x:c r="J76" s="3"/>
      <x:c r="K76" s="3"/>
      <x:c r="L76" s="3"/>
    </x:row>
    <x:row r="77" ht="25" customHeight="1">
      <x:c r="A77" s="2"/>
      <x:c r="B77" s="2"/>
      <x:c r="C77" s="32"/>
      <x:c r="D77" s="3"/>
      <x:c r="E77" s="3"/>
      <x:c r="F77" s="3"/>
      <x:c r="G77" s="3"/>
      <x:c r="H77" s="3"/>
      <x:c r="I77" s="3"/>
      <x:c r="J77" s="3"/>
      <x:c r="K77" s="3"/>
      <x:c r="L77" s="3"/>
    </x:row>
    <x:row r="78" ht="25" customHeight="1">
      <x:c r="A78" s="2"/>
      <x:c r="B78" s="2"/>
      <x:c r="C78" s="32"/>
      <x:c r="D78" s="3"/>
      <x:c r="E78" s="3"/>
      <x:c r="F78" s="3"/>
      <x:c r="G78" s="3"/>
      <x:c r="H78" s="3"/>
      <x:c r="I78" s="3"/>
      <x:c r="J78" s="3"/>
      <x:c r="K78" s="3"/>
      <x:c r="L78" s="3"/>
    </x:row>
    <x:row r="79" ht="25" customHeight="1">
      <x:c r="A79" s="2"/>
      <x:c r="B79" s="2"/>
      <x:c r="C79" s="32"/>
      <x:c r="D79" s="3"/>
      <x:c r="E79" s="3"/>
      <x:c r="F79" s="3"/>
      <x:c r="G79" s="3"/>
      <x:c r="H79" s="3"/>
      <x:c r="I79" s="3"/>
      <x:c r="J79" s="3"/>
      <x:c r="K79" s="3"/>
      <x:c r="L79" s="3"/>
    </x:row>
    <x:row r="80" ht="25" customHeight="1">
      <x:c r="A80" s="2"/>
      <x:c r="B80" s="2"/>
      <x:c r="C80" s="32"/>
      <x:c r="D80" s="3"/>
      <x:c r="E80" s="3"/>
      <x:c r="F80" s="3"/>
      <x:c r="G80" s="3"/>
      <x:c r="H80" s="3"/>
      <x:c r="I80" s="3"/>
      <x:c r="J80" s="3"/>
      <x:c r="K80" s="3"/>
      <x:c r="L80" s="3"/>
    </x:row>
    <x:row r="81" ht="25" customHeight="1">
      <x:c r="A81" s="2"/>
      <x:c r="B81" s="2"/>
      <x:c r="C81" s="32"/>
      <x:c r="D81" s="3"/>
      <x:c r="E81" s="3"/>
      <x:c r="F81" s="3"/>
      <x:c r="G81" s="3"/>
      <x:c r="H81" s="3"/>
      <x:c r="I81" s="3"/>
      <x:c r="J81" s="3"/>
      <x:c r="K81" s="3"/>
      <x:c r="L81" s="3"/>
    </x:row>
    <x:row r="82" ht="25" customHeight="1">
      <x:c r="A82" s="2"/>
      <x:c r="B82" s="2"/>
      <x:c r="C82" s="32"/>
      <x:c r="D82" s="3"/>
      <x:c r="E82" s="3"/>
      <x:c r="F82" s="3"/>
      <x:c r="G82" s="3"/>
      <x:c r="H82" s="3"/>
      <x:c r="I82" s="3"/>
      <x:c r="J82" s="3"/>
      <x:c r="K82" s="3"/>
      <x:c r="L82" s="3"/>
    </x:row>
    <x:row r="83" ht="25" customHeight="1">
      <x:c r="A83" s="2"/>
      <x:c r="B83" s="2"/>
      <x:c r="C83" s="32"/>
      <x:c r="D83" s="3"/>
      <x:c r="E83" s="3"/>
      <x:c r="F83" s="3"/>
      <x:c r="G83" s="3"/>
      <x:c r="H83" s="3"/>
      <x:c r="I83" s="3"/>
      <x:c r="J83" s="3"/>
      <x:c r="K83" s="3"/>
      <x:c r="L83" s="3"/>
    </x:row>
    <x:row r="84" ht="25" customHeight="1">
      <x:c r="A84" s="2"/>
      <x:c r="B84" s="2"/>
      <x:c r="C84" s="32"/>
      <x:c r="D84" s="3"/>
      <x:c r="E84" s="3"/>
      <x:c r="F84" s="3"/>
      <x:c r="G84" s="3"/>
      <x:c r="H84" s="3"/>
      <x:c r="I84" s="3"/>
      <x:c r="J84" s="3"/>
      <x:c r="K84" s="3"/>
      <x:c r="L84" s="3"/>
    </x:row>
    <x:row r="85" ht="25" customHeight="1">
      <x:c r="A85" s="2"/>
      <x:c r="B85" s="2"/>
      <x:c r="C85" s="32"/>
      <x:c r="D85" s="3"/>
      <x:c r="E85" s="3"/>
      <x:c r="F85" s="3"/>
      <x:c r="G85" s="3"/>
      <x:c r="H85" s="3"/>
      <x:c r="I85" s="3"/>
      <x:c r="J85" s="3"/>
      <x:c r="K85" s="3"/>
      <x:c r="L85" s="3"/>
    </x:row>
    <x:row r="86" ht="25" customHeight="1">
      <x:c r="A86" s="2"/>
      <x:c r="B86" s="2"/>
      <x:c r="C86" s="32"/>
      <x:c r="D86" s="3"/>
      <x:c r="E86" s="3"/>
      <x:c r="F86" s="3"/>
      <x:c r="G86" s="3"/>
      <x:c r="H86" s="3"/>
      <x:c r="I86" s="3"/>
      <x:c r="J86" s="3"/>
      <x:c r="K86" s="3"/>
      <x:c r="L86" s="3"/>
    </x:row>
    <x:row r="87" ht="25" customHeight="1">
      <x:c r="A87" s="2"/>
      <x:c r="B87" s="2"/>
      <x:c r="C87" s="32"/>
      <x:c r="D87" s="3"/>
      <x:c r="E87" s="3"/>
      <x:c r="F87" s="3"/>
      <x:c r="G87" s="3"/>
      <x:c r="H87" s="3"/>
      <x:c r="I87" s="3"/>
      <x:c r="J87" s="3"/>
      <x:c r="K87" s="3"/>
      <x:c r="L87" s="3"/>
    </x:row>
    <x:row r="88" ht="25" customHeight="1">
      <x:c r="A88" s="2"/>
      <x:c r="B88" s="2"/>
      <x:c r="C88" s="32"/>
      <x:c r="D88" s="3"/>
      <x:c r="E88" s="3"/>
      <x:c r="F88" s="3"/>
      <x:c r="G88" s="3"/>
      <x:c r="H88" s="3"/>
      <x:c r="I88" s="3"/>
      <x:c r="J88" s="3"/>
      <x:c r="K88" s="3"/>
      <x:c r="L88" s="3"/>
    </x:row>
    <x:row r="89" ht="25" customHeight="1">
      <x:c r="A89" s="2"/>
      <x:c r="B89" s="2"/>
      <x:c r="C89" s="32"/>
      <x:c r="D89" s="3"/>
      <x:c r="E89" s="3"/>
      <x:c r="F89" s="3"/>
      <x:c r="G89" s="3"/>
      <x:c r="H89" s="3"/>
      <x:c r="I89" s="3"/>
      <x:c r="J89" s="3"/>
      <x:c r="K89" s="3"/>
      <x:c r="L89" s="3"/>
    </x:row>
    <x:row r="90" ht="25" customHeight="1">
      <x:c r="A90" s="2"/>
      <x:c r="B90" s="2"/>
      <x:c r="C90" s="32"/>
      <x:c r="D90" s="3"/>
      <x:c r="E90" s="3"/>
      <x:c r="F90" s="3"/>
      <x:c r="G90" s="3"/>
      <x:c r="H90" s="3"/>
      <x:c r="I90" s="3"/>
      <x:c r="J90" s="3"/>
      <x:c r="K90" s="3"/>
      <x:c r="L90" s="3"/>
    </x:row>
    <x:row r="91" ht="25" customHeight="1">
      <x:c r="A91" s="2"/>
      <x:c r="B91" s="2"/>
      <x:c r="C91" s="32"/>
      <x:c r="D91" s="3"/>
      <x:c r="E91" s="3"/>
      <x:c r="F91" s="3"/>
      <x:c r="G91" s="3"/>
      <x:c r="H91" s="3"/>
      <x:c r="I91" s="3"/>
      <x:c r="J91" s="3"/>
      <x:c r="K91" s="3"/>
      <x:c r="L91" s="3"/>
    </x:row>
    <x:row r="92" ht="25" customHeight="1">
      <x:c r="A92" s="2"/>
      <x:c r="B92" s="2"/>
      <x:c r="C92" s="32"/>
      <x:c r="D92" s="3"/>
      <x:c r="E92" s="3"/>
      <x:c r="F92" s="3"/>
      <x:c r="G92" s="3"/>
      <x:c r="H92" s="3"/>
      <x:c r="I92" s="3"/>
      <x:c r="J92" s="3"/>
      <x:c r="K92" s="3"/>
      <x:c r="L92" s="3"/>
    </x:row>
    <x:row r="93" ht="25" customHeight="1">
      <x:c r="A93" s="2"/>
      <x:c r="B93" s="2"/>
      <x:c r="C93" s="32"/>
      <x:c r="D93" s="3"/>
      <x:c r="E93" s="3"/>
      <x:c r="F93" s="3"/>
      <x:c r="G93" s="3"/>
      <x:c r="H93" s="3"/>
      <x:c r="I93" s="3"/>
      <x:c r="J93" s="3"/>
      <x:c r="K93" s="3"/>
      <x:c r="L93" s="3"/>
    </x:row>
    <x:row r="94" ht="25" customHeight="1">
      <x:c r="A94" s="2"/>
      <x:c r="B94" s="2"/>
      <x:c r="C94" s="32"/>
      <x:c r="D94" s="3"/>
      <x:c r="E94" s="3"/>
      <x:c r="F94" s="3"/>
      <x:c r="G94" s="3"/>
      <x:c r="H94" s="3"/>
      <x:c r="I94" s="3"/>
      <x:c r="J94" s="3"/>
      <x:c r="K94" s="3"/>
      <x:c r="L94" s="3"/>
    </x:row>
    <x:row r="95" ht="25" customHeight="1">
      <x:c r="A95" s="2"/>
      <x:c r="B95" s="2"/>
      <x:c r="C95" s="32"/>
      <x:c r="D95" s="3"/>
      <x:c r="E95" s="3"/>
      <x:c r="F95" s="3"/>
      <x:c r="G95" s="3"/>
      <x:c r="H95" s="3"/>
      <x:c r="I95" s="3"/>
      <x:c r="J95" s="3"/>
      <x:c r="K95" s="3"/>
      <x:c r="L95" s="3"/>
    </x:row>
    <x:row r="96" ht="25" customHeight="1">
      <x:c r="A96" s="2"/>
      <x:c r="B96" s="2"/>
      <x:c r="C96" s="32"/>
      <x:c r="D96" s="3"/>
      <x:c r="E96" s="3"/>
      <x:c r="F96" s="3"/>
      <x:c r="G96" s="3"/>
      <x:c r="H96" s="3"/>
      <x:c r="I96" s="3"/>
      <x:c r="J96" s="3"/>
      <x:c r="K96" s="3"/>
      <x:c r="L96" s="3"/>
    </x:row>
    <x:row r="97" ht="25" customHeight="1">
      <x:c r="A97" s="2"/>
      <x:c r="B97" s="2"/>
      <x:c r="C97" s="32"/>
      <x:c r="D97" s="3"/>
      <x:c r="E97" s="3"/>
      <x:c r="F97" s="3"/>
      <x:c r="G97" s="3"/>
      <x:c r="H97" s="3"/>
      <x:c r="I97" s="3"/>
      <x:c r="J97" s="3"/>
      <x:c r="K97" s="3"/>
      <x:c r="L97" s="3"/>
    </x:row>
    <x:row r="98" ht="25" customHeight="1">
      <x:c r="A98" s="2"/>
      <x:c r="B98" s="2"/>
      <x:c r="C98" s="32"/>
      <x:c r="D98" s="3"/>
      <x:c r="E98" s="3"/>
      <x:c r="F98" s="3"/>
      <x:c r="G98" s="3"/>
      <x:c r="H98" s="3"/>
      <x:c r="I98" s="3"/>
      <x:c r="J98" s="3"/>
      <x:c r="K98" s="3"/>
      <x:c r="L98" s="3"/>
    </x:row>
    <x:row r="99" ht="25" customHeight="1">
      <x:c r="A99" s="2"/>
      <x:c r="B99" s="2"/>
      <x:c r="C99" s="32"/>
      <x:c r="D99" s="3"/>
      <x:c r="E99" s="3"/>
      <x:c r="F99" s="3"/>
      <x:c r="G99" s="3"/>
      <x:c r="H99" s="3"/>
      <x:c r="I99" s="3"/>
      <x:c r="J99" s="3"/>
      <x:c r="K99" s="3"/>
      <x:c r="L99" s="3"/>
    </x:row>
    <x:row r="100" ht="25" customHeight="1">
      <x:c r="A100" s="2"/>
      <x:c r="B100" s="2"/>
      <x:c r="C100" s="32"/>
      <x:c r="D100" s="3"/>
      <x:c r="E100" s="3"/>
      <x:c r="F100" s="3"/>
      <x:c r="G100" s="3"/>
      <x:c r="H100" s="3"/>
      <x:c r="I100" s="3"/>
      <x:c r="J100" s="3"/>
      <x:c r="K100" s="3"/>
      <x:c r="L100" s="3"/>
    </x:row>
    <x:row r="101" ht="25" customHeight="1">
      <x:c r="A101" s="2"/>
      <x:c r="B101" s="2"/>
      <x:c r="C101" s="32"/>
      <x:c r="D101" s="3"/>
      <x:c r="E101" s="3"/>
      <x:c r="F101" s="3"/>
      <x:c r="G101" s="3"/>
      <x:c r="H101" s="3"/>
      <x:c r="I101" s="3"/>
      <x:c r="J101" s="3"/>
      <x:c r="K101" s="3"/>
      <x:c r="L101" s="3"/>
    </x:row>
    <x:row r="102" ht="25" customHeight="1">
      <x:c r="A102" s="2"/>
      <x:c r="B102" s="2"/>
      <x:c r="C102" s="32"/>
      <x:c r="D102" s="3"/>
      <x:c r="E102" s="3"/>
      <x:c r="F102" s="3"/>
      <x:c r="G102" s="3"/>
      <x:c r="H102" s="3"/>
      <x:c r="I102" s="3"/>
      <x:c r="J102" s="3"/>
      <x:c r="K102" s="3"/>
      <x:c r="L102" s="3"/>
    </x:row>
    <x:row r="103" ht="25" customHeight="1">
      <x:c r="A103" s="2"/>
      <x:c r="B103" s="2"/>
      <x:c r="C103" s="32"/>
      <x:c r="D103" s="3"/>
      <x:c r="E103" s="3"/>
      <x:c r="F103" s="3"/>
      <x:c r="G103" s="3"/>
      <x:c r="H103" s="3"/>
      <x:c r="I103" s="3"/>
      <x:c r="J103" s="3"/>
      <x:c r="K103" s="3"/>
      <x:c r="L103" s="3"/>
    </x:row>
    <x:row r="104" ht="25" customHeight="1">
      <x:c r="A104" s="2"/>
      <x:c r="B104" s="2"/>
      <x:c r="C104" s="32"/>
      <x:c r="D104" s="3"/>
      <x:c r="E104" s="3"/>
      <x:c r="F104" s="3"/>
      <x:c r="G104" s="3"/>
      <x:c r="H104" s="3"/>
      <x:c r="I104" s="3"/>
      <x:c r="J104" s="3"/>
      <x:c r="K104" s="3"/>
      <x:c r="L104" s="3"/>
    </x:row>
    <x:row r="105" ht="25" customHeight="1">
      <x:c r="A105" s="2"/>
      <x:c r="B105" s="2"/>
      <x:c r="C105" s="32"/>
      <x:c r="D105" s="3"/>
      <x:c r="E105" s="3"/>
      <x:c r="F105" s="3"/>
      <x:c r="G105" s="3"/>
      <x:c r="H105" s="3"/>
      <x:c r="I105" s="3"/>
      <x:c r="J105" s="3"/>
      <x:c r="K105" s="3"/>
      <x:c r="L105" s="3"/>
    </x:row>
    <x:row r="106" ht="25" customHeight="1">
      <x:c r="A106" s="2"/>
      <x:c r="B106" s="2"/>
      <x:c r="C106" s="32"/>
      <x:c r="D106" s="3"/>
      <x:c r="E106" s="3"/>
      <x:c r="F106" s="3"/>
      <x:c r="G106" s="3"/>
      <x:c r="H106" s="3"/>
      <x:c r="I106" s="3"/>
      <x:c r="J106" s="3"/>
      <x:c r="K106" s="3"/>
      <x:c r="L106" s="3"/>
    </x:row>
    <x:row r="107" ht="25" customHeight="1">
      <x:c r="A107" s="2"/>
      <x:c r="B107" s="2"/>
      <x:c r="C107" s="32"/>
      <x:c r="D107" s="3"/>
      <x:c r="E107" s="3"/>
      <x:c r="F107" s="3"/>
      <x:c r="G107" s="3"/>
      <x:c r="H107" s="3"/>
      <x:c r="I107" s="3"/>
      <x:c r="J107" s="3"/>
      <x:c r="K107" s="3"/>
      <x:c r="L107" s="3"/>
    </x:row>
    <x:row r="108" ht="25" customHeight="1">
      <x:c r="A108" s="2"/>
      <x:c r="B108" s="2"/>
      <x:c r="C108" s="32"/>
      <x:c r="D108" s="3"/>
      <x:c r="E108" s="3"/>
      <x:c r="F108" s="3"/>
      <x:c r="G108" s="3"/>
      <x:c r="H108" s="3"/>
      <x:c r="I108" s="3"/>
      <x:c r="J108" s="3"/>
      <x:c r="K108" s="3"/>
      <x:c r="L108" s="3"/>
    </x:row>
    <x:row r="109" ht="25" customHeight="1">
      <x:c r="A109" s="2"/>
      <x:c r="B109" s="2"/>
      <x:c r="C109" s="32"/>
      <x:c r="D109" s="3"/>
      <x:c r="E109" s="3"/>
      <x:c r="F109" s="3"/>
      <x:c r="G109" s="3"/>
      <x:c r="H109" s="3"/>
      <x:c r="I109" s="3"/>
      <x:c r="J109" s="3"/>
      <x:c r="K109" s="3"/>
      <x:c r="L109" s="3"/>
    </x:row>
    <x:row r="110" ht="25" customHeight="1">
      <x:c r="A110" s="2"/>
      <x:c r="B110" s="2"/>
      <x:c r="C110" s="32"/>
      <x:c r="D110" s="3"/>
      <x:c r="E110" s="3"/>
      <x:c r="F110" s="3"/>
      <x:c r="G110" s="3"/>
      <x:c r="H110" s="3"/>
      <x:c r="I110" s="3"/>
      <x:c r="J110" s="3"/>
      <x:c r="K110" s="3"/>
      <x:c r="L110" s="3"/>
    </x:row>
    <x:row r="111" ht="25" customHeight="1">
      <x:c r="A111" s="2"/>
      <x:c r="B111" s="2"/>
      <x:c r="C111" s="32"/>
      <x:c r="D111" s="3"/>
      <x:c r="E111" s="3"/>
      <x:c r="F111" s="3"/>
      <x:c r="G111" s="3"/>
      <x:c r="H111" s="3"/>
      <x:c r="I111" s="3"/>
      <x:c r="J111" s="3"/>
      <x:c r="K111" s="3"/>
      <x:c r="L111" s="3"/>
    </x:row>
    <x:row r="112" ht="25" customHeight="1">
      <x:c r="A112" s="2"/>
      <x:c r="B112" s="2"/>
      <x:c r="C112" s="32"/>
      <x:c r="D112" s="3"/>
      <x:c r="E112" s="3"/>
      <x:c r="F112" s="3"/>
      <x:c r="G112" s="3"/>
      <x:c r="H112" s="3"/>
      <x:c r="I112" s="3"/>
      <x:c r="J112" s="3"/>
      <x:c r="K112" s="3"/>
      <x:c r="L112" s="3"/>
    </x:row>
    <x:row r="113" ht="25" customHeight="1">
      <x:c r="A113" s="2"/>
      <x:c r="B113" s="2"/>
      <x:c r="C113" s="32"/>
      <x:c r="D113" s="3"/>
      <x:c r="E113" s="3"/>
      <x:c r="F113" s="3"/>
      <x:c r="G113" s="3"/>
      <x:c r="H113" s="3"/>
      <x:c r="I113" s="3"/>
      <x:c r="J113" s="3"/>
      <x:c r="K113" s="3"/>
      <x:c r="L113" s="3"/>
    </x:row>
    <x:row r="114" ht="25" customHeight="1">
      <x:c r="A114" s="2"/>
      <x:c r="B114" s="2"/>
      <x:c r="C114" s="32"/>
      <x:c r="D114" s="3"/>
      <x:c r="E114" s="3"/>
      <x:c r="F114" s="3"/>
      <x:c r="G114" s="3"/>
      <x:c r="H114" s="3"/>
      <x:c r="I114" s="3"/>
      <x:c r="J114" s="3"/>
      <x:c r="K114" s="3"/>
      <x:c r="L114" s="3"/>
    </x:row>
    <x:row r="115" ht="25" customHeight="1">
      <x:c r="A115" s="2"/>
      <x:c r="B115" s="2"/>
      <x:c r="C115" s="32"/>
      <x:c r="D115" s="3"/>
      <x:c r="E115" s="3"/>
      <x:c r="F115" s="3"/>
      <x:c r="G115" s="3"/>
      <x:c r="H115" s="3"/>
      <x:c r="I115" s="3"/>
      <x:c r="J115" s="3"/>
      <x:c r="K115" s="3"/>
      <x:c r="L115" s="3"/>
    </x:row>
    <x:row r="116" ht="25" customHeight="1">
      <x:c r="A116" s="2"/>
      <x:c r="B116" s="2"/>
      <x:c r="C116" s="32"/>
      <x:c r="D116" s="3"/>
      <x:c r="E116" s="3"/>
      <x:c r="F116" s="3"/>
      <x:c r="G116" s="3"/>
      <x:c r="H116" s="3"/>
      <x:c r="I116" s="3"/>
      <x:c r="J116" s="3"/>
      <x:c r="K116" s="3"/>
      <x:c r="L116" s="3"/>
    </x:row>
    <x:row r="117" ht="25" customHeight="1">
      <x:c r="A117" s="2"/>
      <x:c r="B117" s="2"/>
      <x:c r="C117" s="32"/>
      <x:c r="D117" s="3"/>
      <x:c r="E117" s="3"/>
      <x:c r="F117" s="3"/>
      <x:c r="G117" s="3"/>
      <x:c r="H117" s="3"/>
      <x:c r="I117" s="3"/>
      <x:c r="J117" s="3"/>
      <x:c r="K117" s="3"/>
      <x:c r="L117" s="3"/>
    </x:row>
    <x:row r="118" ht="25" customHeight="1">
      <x:c r="A118" s="2"/>
      <x:c r="B118" s="2"/>
      <x:c r="C118" s="32"/>
      <x:c r="D118" s="3"/>
      <x:c r="E118" s="3"/>
      <x:c r="F118" s="3"/>
      <x:c r="G118" s="3"/>
      <x:c r="H118" s="3"/>
      <x:c r="I118" s="3"/>
      <x:c r="J118" s="3"/>
      <x:c r="K118" s="3"/>
      <x:c r="L118" s="3"/>
    </x:row>
    <x:row r="119" ht="25" customHeight="1">
      <x:c r="A119" s="2"/>
      <x:c r="B119" s="2"/>
      <x:c r="C119" s="32"/>
      <x:c r="D119" s="3"/>
      <x:c r="E119" s="3"/>
      <x:c r="F119" s="3"/>
      <x:c r="G119" s="3"/>
      <x:c r="H119" s="3"/>
      <x:c r="I119" s="3"/>
      <x:c r="J119" s="3"/>
      <x:c r="K119" s="3"/>
      <x:c r="L119" s="3"/>
    </x:row>
    <x:row r="120" ht="25" customHeight="1">
      <x:c r="A120" s="2"/>
      <x:c r="B120" s="2"/>
      <x:c r="C120" s="32"/>
      <x:c r="D120" s="3"/>
      <x:c r="E120" s="3"/>
      <x:c r="F120" s="3"/>
      <x:c r="G120" s="3"/>
      <x:c r="H120" s="3"/>
      <x:c r="I120" s="3"/>
      <x:c r="J120" s="3"/>
      <x:c r="K120" s="3"/>
      <x:c r="L120" s="3"/>
    </x:row>
  </x:sheetData>
  <x:mergeCells>
    <x:mergeCell ref="C2:H2"/>
    <x:mergeCell ref="C41:H41"/>
    <x:mergeCell ref="C43:H43"/>
    <x:mergeCell ref="C45:H45"/>
  </x:mergeCells>
  <x:conditionalFormatting sqref="D18:H18">
    <x:cfRule type="cellIs" dxfId="3" priority="1" operator="lessThan">
      <x:formula>0</x:formula>
    </x:cfRule>
  </x:conditionalFormatting>
  <x:conditionalFormatting sqref="D28:H28">
    <x:cfRule type="cellIs" dxfId="4" priority="2" operator="lessThan">
      <x:formula>0</x:formula>
    </x:cfRule>
  </x:conditionalFormatting>
  <x:pageMargins left="0.7" right="0.7" top="0.75" bottom="0.75" header="0.3" footer="0.3"/>
  <x:drawing xmlns:r="http://schemas.openxmlformats.org/officeDocument/2006/relationships" r:id="R92fd32b3f59745f0"/>
</x:worksheet>
</file>

<file path=xl/worksheets/sheet2.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2" hidden="0" customWidth="1"/>
    <x:col min="2" max="2" width="2" hidden="0" customWidth="1"/>
    <x:col min="3" max="3" width="4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12" hidden="0" customWidth="1"/>
    <x:col min="16" max="16" width="12" hidden="0" customWidth="1"/>
    <x:col min="17" max="17" width="12" hidden="0" customWidth="1"/>
    <x:col min="18" max="18" width="12" hidden="0" customWidth="1"/>
    <x:col min="19" max="19" width="12" hidden="0" customWidth="1"/>
    <x:col min="20" max="20" width="12" hidden="0" customWidth="1"/>
  </x:cols>
  <x:sheetData>
    <x:row r="1" ht="25" customHeight="1">
      <x:c r="A1" s="2"/>
      <x:c r="B1" s="2"/>
      <x:c r="C1" s="2"/>
      <x:c r="D1" s="3"/>
      <x:c r="E1" s="3"/>
      <x:c r="F1" s="3"/>
      <x:c r="G1" s="3"/>
      <x:c r="H1" s="3"/>
      <x:c r="I1" s="3"/>
      <x:c r="J1" s="3"/>
      <x:c r="K1" s="3"/>
      <x:c r="L1" s="3"/>
      <x:c r="M1" s="3"/>
      <x:c r="N1" s="3"/>
      <x:c r="O1" s="3"/>
      <x:c r="P1" s="3"/>
      <x:c r="Q1" s="3"/>
      <x:c r="R1" s="3"/>
      <x:c r="S1" s="3"/>
      <x:c r="T1" s="3"/>
    </x:row>
    <x:row r="2" ht="34" customHeight="1">
      <x:c r="A2" s="2"/>
      <x:c r="B2" s="2"/>
      <x:c r="C2" s="4" t="str">
        <x:v>Funding journey and milestone logic</x:v>
      </x:c>
      <x:c r="D2" s="3"/>
      <x:c r="E2" s="3"/>
      <x:c r="F2" s="3"/>
      <x:c r="G2" s="3"/>
      <x:c r="H2" s="3"/>
      <x:c r="I2" s="3"/>
      <x:c r="J2" s="3"/>
      <x:c r="K2" s="3"/>
      <x:c r="L2" s="3"/>
      <x:c r="M2" s="3"/>
      <x:c r="N2" s="3"/>
      <x:c r="O2" s="3"/>
      <x:c r="P2" s="3"/>
      <x:c r="Q2" s="3"/>
      <x:c r="R2" s="3"/>
      <x:c r="S2" s="3"/>
      <x:c r="T2" s="3"/>
    </x:row>
    <x:row r="3" ht="25" customHeight="1">
      <x:c r="A3" s="2"/>
      <x:c r="B3" s="2"/>
      <x:c r="C3" s="2" t="str">
        <x:v>Selected case</x:v>
      </x:c>
      <x:c r="D3" s="52" t="str">
        <x:f>'Inputs'!$E$3</x:f>
        <x:v>Base</x:v>
      </x:c>
      <x:c r="E3" s="3"/>
      <x:c r="F3" s="3"/>
      <x:c r="G3" s="3"/>
      <x:c r="H3" s="3"/>
      <x:c r="I3" s="3"/>
      <x:c r="J3" s="3"/>
      <x:c r="K3" s="3"/>
      <x:c r="L3" s="3"/>
      <x:c r="M3" s="3"/>
      <x:c r="N3" s="3"/>
      <x:c r="O3" s="3"/>
      <x:c r="P3" s="3"/>
      <x:c r="Q3" s="3"/>
      <x:c r="R3" s="3"/>
      <x:c r="S3" s="3"/>
      <x:c r="T3" s="3"/>
    </x:row>
    <x:row r="4" ht="25" customHeight="1">
      <x:c r="A4" s="2"/>
      <x:c r="B4" s="2"/>
      <x:c r="C4" s="2"/>
      <x:c r="D4" s="3"/>
      <x:c r="E4" s="3"/>
      <x:c r="F4" s="3"/>
      <x:c r="G4" s="3"/>
      <x:c r="H4" s="3"/>
      <x:c r="I4" s="3"/>
      <x:c r="J4" s="3"/>
      <x:c r="K4" s="3"/>
      <x:c r="L4" s="3"/>
      <x:c r="M4" s="3"/>
      <x:c r="N4" s="3"/>
      <x:c r="O4" s="3"/>
      <x:c r="P4" s="3"/>
      <x:c r="Q4" s="3"/>
      <x:c r="R4" s="3"/>
      <x:c r="S4" s="3"/>
      <x:c r="T4" s="3"/>
    </x:row>
    <x:row r="5" ht="25" customHeight="1">
      <x:c r="A5" s="2"/>
      <x:c r="B5" s="2"/>
      <x:c r="C5" s="7"/>
      <x:c r="D5" s="8" t="str">
        <x:v>Q4:26</x:v>
      </x:c>
      <x:c r="E5" s="8" t="str">
        <x:v>Q1:27</x:v>
      </x:c>
      <x:c r="F5" s="8" t="str">
        <x:v>Q2:27</x:v>
      </x:c>
      <x:c r="G5" s="8" t="str">
        <x:v>Q3:27</x:v>
      </x:c>
      <x:c r="H5" s="8" t="str">
        <x:v>Q4:27</x:v>
      </x:c>
      <x:c r="I5" s="8" t="str">
        <x:v>Q1:28</x:v>
      </x:c>
      <x:c r="J5" s="8" t="str">
        <x:v>Q2:28</x:v>
      </x:c>
      <x:c r="K5" s="8" t="str">
        <x:v>Q3:28</x:v>
      </x:c>
      <x:c r="L5" s="8" t="str">
        <x:v>Q4:28</x:v>
      </x:c>
      <x:c r="M5" s="8" t="str">
        <x:v>Q1:29</x:v>
      </x:c>
      <x:c r="N5" s="8" t="str">
        <x:v>Q2:29</x:v>
      </x:c>
      <x:c r="O5" s="8" t="str">
        <x:v>Q3:29</x:v>
      </x:c>
      <x:c r="P5" s="8" t="str">
        <x:v>Q4:29</x:v>
      </x:c>
      <x:c r="Q5" s="8" t="str">
        <x:v>Q1:30</x:v>
      </x:c>
      <x:c r="R5" s="8" t="str">
        <x:v>Q2:30</x:v>
      </x:c>
      <x:c r="S5" s="8" t="str">
        <x:v>Q3:30</x:v>
      </x:c>
      <x:c r="T5" s="8" t="str">
        <x:v>Q4:30</x:v>
      </x:c>
    </x:row>
    <x:row r="6" ht="25" customHeight="1">
      <x:c r="A6" s="2"/>
      <x:c r="B6" s="2"/>
      <x:c r="C6" s="32"/>
      <x:c r="D6" s="3"/>
      <x:c r="E6" s="3"/>
      <x:c r="F6" s="3"/>
      <x:c r="G6" s="3"/>
      <x:c r="H6" s="3"/>
      <x:c r="I6" s="3"/>
      <x:c r="J6" s="3"/>
      <x:c r="K6" s="3"/>
      <x:c r="L6" s="3"/>
      <x:c r="M6" s="3"/>
      <x:c r="N6" s="3"/>
      <x:c r="O6" s="3"/>
      <x:c r="P6" s="3"/>
      <x:c r="Q6" s="3"/>
      <x:c r="R6" s="3"/>
      <x:c r="S6" s="3"/>
      <x:c r="T6" s="3"/>
    </x:row>
    <x:row r="7" ht="27" customHeight="1">
      <x:c r="A7" s="2"/>
      <x:c r="B7" s="2"/>
      <x:c r="C7" s="61" t="str">
        <x:v>Planned venture funding. EUR</x:v>
      </x:c>
      <x:c r="D7" s="15"/>
      <x:c r="E7" s="15"/>
      <x:c r="F7" s="15"/>
      <x:c r="G7" s="15"/>
      <x:c r="H7" s="15"/>
      <x:c r="I7" s="15"/>
      <x:c r="J7" s="15"/>
      <x:c r="K7" s="15"/>
      <x:c r="L7" s="15"/>
      <x:c r="M7" s="15"/>
      <x:c r="N7" s="15"/>
      <x:c r="O7" s="15"/>
      <x:c r="P7" s="15"/>
      <x:c r="Q7" s="15"/>
      <x:c r="R7" s="15"/>
      <x:c r="S7" s="15"/>
      <x:c r="T7" s="15"/>
    </x:row>
    <x:row r="8" ht="25" customHeight="1">
      <x:c r="A8" s="2"/>
      <x:c r="B8" s="2"/>
      <x:c r="C8" s="64" t="str">
        <x:v>Round</x:v>
      </x:c>
      <x:c r="D8" s="3" t="str">
        <x:v>Pre-seed</x:v>
      </x:c>
      <x:c r="E8" s="3" t="str">
        <x:v>Seed</x:v>
      </x:c>
      <x:c r="F8" s="3" t="str"/>
      <x:c r="G8" s="3" t="str"/>
      <x:c r="H8" s="3" t="str"/>
      <x:c r="I8" s="3" t="str">
        <x:v>Series A</x:v>
      </x:c>
      <x:c r="J8" s="3" t="str"/>
      <x:c r="K8" s="3" t="str"/>
      <x:c r="L8" s="3" t="str"/>
      <x:c r="M8" s="3" t="str"/>
      <x:c r="N8" s="3" t="str"/>
      <x:c r="O8" s="3" t="str"/>
      <x:c r="P8" s="3" t="str"/>
      <x:c r="Q8" s="3" t="str"/>
      <x:c r="R8" s="3" t="str"/>
      <x:c r="S8" s="3" t="str"/>
      <x:c r="T8" s="3" t="str"/>
    </x:row>
    <x:row r="9" ht="25" customHeight="1">
      <x:c r="A9" s="2"/>
      <x:c r="B9" s="2"/>
      <x:c r="C9" s="64" t="str">
        <x:v>Gross proceeds</x:v>
      </x:c>
      <x:c r="D9" s="16" t="n">
        <x:v>1000000</x:v>
      </x:c>
      <x:c r="E9" s="16" t="n">
        <x:v>5000000</x:v>
      </x:c>
      <x:c r="F9" s="16" t="n">
        <x:v>0</x:v>
      </x:c>
      <x:c r="G9" s="16" t="n">
        <x:v>0</x:v>
      </x:c>
      <x:c r="H9" s="16" t="n">
        <x:v>0</x:v>
      </x:c>
      <x:c r="I9" s="16" t="n">
        <x:v>22000000</x:v>
      </x:c>
      <x:c r="J9" s="16" t="n">
        <x:v>0</x:v>
      </x:c>
      <x:c r="K9" s="16" t="n">
        <x:v>0</x:v>
      </x:c>
      <x:c r="L9" s="16" t="n">
        <x:v>0</x:v>
      </x:c>
      <x:c r="M9" s="16" t="n">
        <x:v>0</x:v>
      </x:c>
      <x:c r="N9" s="16" t="n">
        <x:v>0</x:v>
      </x:c>
      <x:c r="O9" s="16" t="n">
        <x:v>0</x:v>
      </x:c>
      <x:c r="P9" s="16" t="n">
        <x:v>0</x:v>
      </x:c>
      <x:c r="Q9" s="16" t="n">
        <x:v>0</x:v>
      </x:c>
      <x:c r="R9" s="16" t="n">
        <x:v>0</x:v>
      </x:c>
      <x:c r="S9" s="16" t="n">
        <x:v>0</x:v>
      </x:c>
      <x:c r="T9" s="16" t="n">
        <x:v>0</x:v>
      </x:c>
    </x:row>
    <x:row r="10" ht="25" customHeight="1">
      <x:c r="A10" s="2"/>
      <x:c r="B10" s="2"/>
      <x:c r="C10" s="64" t="str">
        <x:v>Financing fees</x:v>
      </x:c>
      <x:c r="D10" s="3" t="n">
        <x:f>D9*2.5%</x:f>
        <x:v>25000</x:v>
      </x:c>
      <x:c r="E10" s="3" t="n">
        <x:f>E9*2.5%</x:f>
        <x:v>125000</x:v>
      </x:c>
      <x:c r="F10" s="3" t="n">
        <x:f>F9*2.5%</x:f>
        <x:v>0</x:v>
      </x:c>
      <x:c r="G10" s="3" t="n">
        <x:f>G9*2.5%</x:f>
        <x:v>0</x:v>
      </x:c>
      <x:c r="H10" s="3" t="n">
        <x:f>H9*2.5%</x:f>
        <x:v>0</x:v>
      </x:c>
      <x:c r="I10" s="3" t="n">
        <x:f>I9*2.5%</x:f>
        <x:v>550000</x:v>
      </x:c>
      <x:c r="J10" s="3" t="n">
        <x:f>J9*2.5%</x:f>
        <x:v>0</x:v>
      </x:c>
      <x:c r="K10" s="3" t="n">
        <x:f>K9*2.5%</x:f>
        <x:v>0</x:v>
      </x:c>
      <x:c r="L10" s="3" t="n">
        <x:f>L9*2.5%</x:f>
        <x:v>0</x:v>
      </x:c>
      <x:c r="M10" s="3" t="n">
        <x:f>M9*2.5%</x:f>
        <x:v>0</x:v>
      </x:c>
      <x:c r="N10" s="3" t="n">
        <x:f>N9*2.5%</x:f>
        <x:v>0</x:v>
      </x:c>
      <x:c r="O10" s="3" t="n">
        <x:f>O9*2.5%</x:f>
        <x:v>0</x:v>
      </x:c>
      <x:c r="P10" s="3" t="n">
        <x:f>P9*2.5%</x:f>
        <x:v>0</x:v>
      </x:c>
      <x:c r="Q10" s="3" t="n">
        <x:f>Q9*2.5%</x:f>
        <x:v>0</x:v>
      </x:c>
      <x:c r="R10" s="3" t="n">
        <x:f>R9*2.5%</x:f>
        <x:v>0</x:v>
      </x:c>
      <x:c r="S10" s="3" t="n">
        <x:f>S9*2.5%</x:f>
        <x:v>0</x:v>
      </x:c>
      <x:c r="T10" s="3" t="n">
        <x:f>T9*2.5%</x:f>
        <x:v>0</x:v>
      </x:c>
    </x:row>
    <x:row r="11" ht="25" customHeight="1">
      <x:c r="A11" s="2"/>
      <x:c r="B11" s="2"/>
      <x:c r="C11" s="64" t="str">
        <x:v>Net cash proceeds</x:v>
      </x:c>
      <x:c r="D11" s="3" t="n">
        <x:f>D9-D10</x:f>
        <x:v>975000</x:v>
      </x:c>
      <x:c r="E11" s="3" t="n">
        <x:f>E9-E10</x:f>
        <x:v>4875000</x:v>
      </x:c>
      <x:c r="F11" s="3" t="n">
        <x:f>F9-F10</x:f>
        <x:v>0</x:v>
      </x:c>
      <x:c r="G11" s="3" t="n">
        <x:f>G9-G10</x:f>
        <x:v>0</x:v>
      </x:c>
      <x:c r="H11" s="3" t="n">
        <x:f>H9-H10</x:f>
        <x:v>0</x:v>
      </x:c>
      <x:c r="I11" s="3" t="n">
        <x:f>I9-I10</x:f>
        <x:v>21450000</x:v>
      </x:c>
      <x:c r="J11" s="3" t="n">
        <x:f>J9-J10</x:f>
        <x:v>0</x:v>
      </x:c>
      <x:c r="K11" s="3" t="n">
        <x:f>K9-K10</x:f>
        <x:v>0</x:v>
      </x:c>
      <x:c r="L11" s="3" t="n">
        <x:f>L9-L10</x:f>
        <x:v>0</x:v>
      </x:c>
      <x:c r="M11" s="3" t="n">
        <x:f>M9-M10</x:f>
        <x:v>0</x:v>
      </x:c>
      <x:c r="N11" s="3" t="n">
        <x:f>N9-N10</x:f>
        <x:v>0</x:v>
      </x:c>
      <x:c r="O11" s="3" t="n">
        <x:f>O9-O10</x:f>
        <x:v>0</x:v>
      </x:c>
      <x:c r="P11" s="3" t="n">
        <x:f>P9-P10</x:f>
        <x:v>0</x:v>
      </x:c>
      <x:c r="Q11" s="3" t="n">
        <x:f>Q9-Q10</x:f>
        <x:v>0</x:v>
      </x:c>
      <x:c r="R11" s="3" t="n">
        <x:f>R9-R10</x:f>
        <x:v>0</x:v>
      </x:c>
      <x:c r="S11" s="3" t="n">
        <x:f>S9-S10</x:f>
        <x:v>0</x:v>
      </x:c>
      <x:c r="T11" s="3" t="n">
        <x:f>T9-T10</x:f>
        <x:v>0</x:v>
      </x:c>
    </x:row>
    <x:row r="12" ht="25" customHeight="1">
      <x:c r="A12" s="2"/>
      <x:c r="B12" s="2"/>
      <x:c r="C12" s="64"/>
      <x:c r="D12" s="3"/>
      <x:c r="E12" s="3"/>
      <x:c r="F12" s="3"/>
      <x:c r="G12" s="3"/>
      <x:c r="H12" s="3"/>
      <x:c r="I12" s="3"/>
      <x:c r="J12" s="3"/>
      <x:c r="K12" s="3"/>
      <x:c r="L12" s="3"/>
      <x:c r="M12" s="3"/>
      <x:c r="N12" s="3"/>
      <x:c r="O12" s="3"/>
      <x:c r="P12" s="3"/>
      <x:c r="Q12" s="3"/>
      <x:c r="R12" s="3"/>
      <x:c r="S12" s="3"/>
      <x:c r="T12" s="3"/>
    </x:row>
    <x:row r="13" ht="25" customHeight="1">
      <x:c r="A13" s="2"/>
      <x:c r="B13" s="2"/>
      <x:c r="C13" s="64" t="str">
        <x:v>Cumulative net funding</x:v>
      </x:c>
      <x:c r="D13" s="3" t="n">
        <x:f>D11</x:f>
        <x:v>975000</x:v>
      </x:c>
      <x:c r="E13" s="3" t="n">
        <x:f>D13+E11</x:f>
        <x:v>5850000</x:v>
      </x:c>
      <x:c r="F13" s="3" t="n">
        <x:f>E13+F11</x:f>
        <x:v>5850000</x:v>
      </x:c>
      <x:c r="G13" s="3" t="n">
        <x:f>F13+G11</x:f>
        <x:v>5850000</x:v>
      </x:c>
      <x:c r="H13" s="3" t="n">
        <x:f>G13+H11</x:f>
        <x:v>5850000</x:v>
      </x:c>
      <x:c r="I13" s="3" t="n">
        <x:f>H13+I11</x:f>
        <x:v>27300000</x:v>
      </x:c>
      <x:c r="J13" s="3" t="n">
        <x:f>I13+J11</x:f>
        <x:v>27300000</x:v>
      </x:c>
      <x:c r="K13" s="3" t="n">
        <x:f>J13+K11</x:f>
        <x:v>27300000</x:v>
      </x:c>
      <x:c r="L13" s="3" t="n">
        <x:f>K13+L11</x:f>
        <x:v>27300000</x:v>
      </x:c>
      <x:c r="M13" s="3" t="n">
        <x:f>L13+M11</x:f>
        <x:v>27300000</x:v>
      </x:c>
      <x:c r="N13" s="3" t="n">
        <x:f>M13+N11</x:f>
        <x:v>27300000</x:v>
      </x:c>
      <x:c r="O13" s="3" t="n">
        <x:f>N13+O11</x:f>
        <x:v>27300000</x:v>
      </x:c>
      <x:c r="P13" s="3" t="n">
        <x:f>O13+P11</x:f>
        <x:v>27300000</x:v>
      </x:c>
      <x:c r="Q13" s="3" t="n">
        <x:f>P13+Q11</x:f>
        <x:v>27300000</x:v>
      </x:c>
      <x:c r="R13" s="3" t="n">
        <x:f>Q13+R11</x:f>
        <x:v>27300000</x:v>
      </x:c>
      <x:c r="S13" s="3" t="n">
        <x:f>R13+S11</x:f>
        <x:v>27300000</x:v>
      </x:c>
      <x:c r="T13" s="3" t="n">
        <x:f>S13+T11</x:f>
        <x:v>27300000</x:v>
      </x:c>
    </x:row>
    <x:row r="14" ht="25" customHeight="1">
      <x:c r="A14" s="2"/>
      <x:c r="B14" s="2"/>
      <x:c r="C14" s="64" t="str">
        <x:v>Closing cash after planned funding</x:v>
      </x:c>
      <x:c r="D14" s="52" t="n">
        <x:f>'Financials'!D51</x:f>
        <x:v>561546.02</x:v>
      </x:c>
      <x:c r="E14" s="52" t="n">
        <x:f>'Financials'!E51</x:f>
        <x:v>4647567.385975509</x:v>
      </x:c>
      <x:c r="F14" s="52" t="n">
        <x:f>'Financials'!F51</x:f>
        <x:v>3731315.700363146</x:v>
      </x:c>
      <x:c r="G14" s="52" t="n">
        <x:f>'Financials'!G51</x:f>
        <x:v>2595693.9444524143</x:v>
      </x:c>
      <x:c r="H14" s="52" t="n">
        <x:f>'Financials'!H51</x:f>
        <x:v>1139732.770641838</x:v>
      </x:c>
      <x:c r="I14" s="52" t="n">
        <x:f>'Financials'!I51</x:f>
        <x:v>20029756.450361766</x:v>
      </x:c>
      <x:c r="J14" s="52" t="n">
        <x:f>'Financials'!J51</x:f>
        <x:v>17232671.506095614</x:v>
      </x:c>
      <x:c r="K14" s="52" t="n">
        <x:f>'Financials'!K51</x:f>
        <x:v>14193606.691532455</x:v>
      </x:c>
      <x:c r="L14" s="52" t="n">
        <x:f>'Financials'!L51</x:f>
        <x:v>10991237.65475598</x:v>
      </x:c>
      <x:c r="M14" s="52" t="n">
        <x:f>'Financials'!M51</x:f>
        <x:v>6310151.152537692</x:v>
      </x:c>
      <x:c r="N14" s="52" t="n">
        <x:f>'Financials'!N51</x:f>
        <x:v>2582203.7688684016</x:v>
      </x:c>
      <x:c r="O14" s="52" t="n">
        <x:f>'Financials'!O51</x:f>
        <x:v>-351975.72385079786</x:v>
      </x:c>
      <x:c r="P14" s="52" t="n">
        <x:f>'Financials'!P51</x:f>
        <x:v>-2415875.8931506053</x:v>
      </x:c>
      <x:c r="Q14" s="52" t="n">
        <x:f>'Financials'!Q51</x:f>
        <x:v>-3672845.1006316245</x:v>
      </x:c>
      <x:c r="R14" s="52" t="n">
        <x:f>'Financials'!R51</x:f>
        <x:v>1790852.493236225</x:v>
      </x:c>
      <x:c r="S14" s="52" t="n">
        <x:f>'Financials'!S51</x:f>
        <x:v>13428179.778081793</x:v>
      </x:c>
      <x:c r="T14" s="52" t="n">
        <x:f>'Financials'!T51</x:f>
        <x:v>22725457.31539667</x:v>
      </x:c>
    </x:row>
    <x:row r="15" ht="25" customHeight="1">
      <x:c r="A15" s="2"/>
      <x:c r="B15" s="2"/>
      <x:c r="C15" s="64" t="str">
        <x:v>Three-month operating reserve</x:v>
      </x:c>
      <x:c r="D15" s="52" t="n">
        <x:f>'Financials'!D54</x:f>
        <x:v>385453.98</x:v>
      </x:c>
      <x:c r="E15" s="52" t="n">
        <x:f>'Financials'!E54</x:f>
        <x:v>829792.555701403</x:v>
      </x:c>
      <x:c r="F15" s="52" t="n">
        <x:f>'Financials'!F54</x:f>
        <x:v>1170600.0605024486</x:v>
      </x:c>
      <x:c r="G15" s="52" t="n">
        <x:f>'Financials'!G54</x:f>
        <x:v>1499987.634307677</x:v>
      </x:c>
      <x:c r="H15" s="52" t="n">
        <x:f>'Financials'!H54</x:f>
        <x:v>1827690.3092148723</x:v>
      </x:c>
      <x:c r="I15" s="52" t="n">
        <x:f>'Financials'!I54</x:f>
        <x:v>3109862.2017895</x:v>
      </x:c>
      <x:c r="J15" s="52" t="n">
        <x:f>'Financials'!J54</x:f>
        <x:v>4036404.6592424447</x:v>
      </x:c>
      <x:c r="K15" s="52" t="n">
        <x:f>'Financials'!K54</x:f>
        <x:v>5011606.305933133</x:v>
      </x:c>
      <x:c r="L15" s="52" t="n">
        <x:f>'Financials'!L54</x:f>
        <x:v>5987111.504899539</x:v>
      </x:c>
      <x:c r="M15" s="52" t="n">
        <x:f>'Financials'!M54</x:f>
        <x:v>9103775.99280682</x:v>
      </x:c>
      <x:c r="N15" s="52" t="n">
        <x:f>'Financials'!N54</x:f>
        <x:v>11535856.308589587</x:v>
      </x:c>
      <x:c r="O15" s="52" t="n">
        <x:f>'Financials'!O54</x:f>
        <x:v>14038956.858039398</x:v>
      </x:c>
      <x:c r="P15" s="52" t="n">
        <x:f>'Financials'!P54</x:f>
        <x:v>16577702.378030296</x:v>
      </x:c>
      <x:c r="Q15" s="52" t="n">
        <x:f>'Financials'!Q54</x:f>
        <x:v>21643040.485507406</x:v>
      </x:c>
      <x:c r="R15" s="52" t="n">
        <x:f>'Financials'!R54</x:f>
        <x:v>26236229.81136419</x:v>
      </x:c>
      <x:c r="S15" s="52" t="n">
        <x:f>'Financials'!S54</x:f>
        <x:v>30414285.16601982</x:v>
      </x:c>
      <x:c r="T15" s="52" t="n">
        <x:f>'Financials'!T54</x:f>
        <x:v>32986508.455769412</x:v>
      </x:c>
    </x:row>
    <x:row r="16" ht="25" customHeight="1">
      <x:c r="A16" s="2"/>
      <x:c r="B16" s="2"/>
      <x:c r="C16" s="64" t="str">
        <x:v>Cash headroom above reserve</x:v>
      </x:c>
      <x:c r="D16" s="3" t="n">
        <x:f>D14-D15</x:f>
        <x:v>176092.04000000004</x:v>
      </x:c>
      <x:c r="E16" s="3" t="n">
        <x:f>E14-E15</x:f>
        <x:v>3817774.830274106</x:v>
      </x:c>
      <x:c r="F16" s="3" t="n">
        <x:f>F14-F15</x:f>
        <x:v>2560715.6398606976</x:v>
      </x:c>
      <x:c r="G16" s="3" t="n">
        <x:f>G14-G15</x:f>
        <x:v>1095706.3101447374</x:v>
      </x:c>
      <x:c r="H16" s="3" t="n">
        <x:f>H14-H15</x:f>
        <x:v>-687957.5385730343</x:v>
      </x:c>
      <x:c r="I16" s="3" t="n">
        <x:f>I14-I15</x:f>
        <x:v>16919894.248572268</x:v>
      </x:c>
      <x:c r="J16" s="3" t="n">
        <x:f>J14-J15</x:f>
        <x:v>13196266.84685317</x:v>
      </x:c>
      <x:c r="K16" s="3" t="n">
        <x:f>K14-K15</x:f>
        <x:v>9182000.385599323</x:v>
      </x:c>
      <x:c r="L16" s="3" t="n">
        <x:f>L14-L15</x:f>
        <x:v>5004126.149856441</x:v>
      </x:c>
      <x:c r="M16" s="3" t="n">
        <x:f>M14-M15</x:f>
        <x:v>-2793624.840269128</x:v>
      </x:c>
      <x:c r="N16" s="3" t="n">
        <x:f>N14-N15</x:f>
        <x:v>-8953652.539721185</x:v>
      </x:c>
      <x:c r="O16" s="3" t="n">
        <x:f>O14-O15</x:f>
        <x:v>-14390932.581890196</x:v>
      </x:c>
      <x:c r="P16" s="3" t="n">
        <x:f>P14-P15</x:f>
        <x:v>-18993578.2711809</x:v>
      </x:c>
      <x:c r="Q16" s="3" t="n">
        <x:f>Q14-Q15</x:f>
        <x:v>-25315885.58613903</x:v>
      </x:c>
      <x:c r="R16" s="3" t="n">
        <x:f>R14-R15</x:f>
        <x:v>-24445377.318127964</x:v>
      </x:c>
      <x:c r="S16" s="3" t="n">
        <x:f>S14-S15</x:f>
        <x:v>-16986105.387938026</x:v>
      </x:c>
      <x:c r="T16" s="3" t="n">
        <x:f>T14-T15</x:f>
        <x:v>-10261051.140372742</x:v>
      </x:c>
    </x:row>
    <x:row r="17" ht="25" customHeight="1">
      <x:c r="A17" s="2"/>
      <x:c r="B17" s="2"/>
      <x:c r="C17" s="32" t="str">
        <x:v>Seed moves from Q1 to Q2, fixed spending</x:v>
      </x:c>
      <x:c r="D17" s="3"/>
      <x:c r="E17" s="65" t="n">
        <x:f>'Financials'!E51-E11</x:f>
        <x:v>-227432.61402449105</x:v>
      </x:c>
      <x:c r="F17" s="3" t="str">
        <x:v>Requires a slower hiring and deployment plan.</x:v>
      </x:c>
      <x:c r="G17" s="3"/>
      <x:c r="H17" s="3"/>
      <x:c r="I17" s="3"/>
      <x:c r="J17" s="3"/>
      <x:c r="K17" s="3"/>
      <x:c r="L17" s="3"/>
      <x:c r="M17" s="3"/>
      <x:c r="N17" s="3"/>
      <x:c r="O17" s="3"/>
      <x:c r="P17" s="3"/>
      <x:c r="Q17" s="3"/>
      <x:c r="R17" s="3"/>
      <x:c r="S17" s="3"/>
      <x:c r="T17" s="3"/>
    </x:row>
    <x:row r="18" ht="25" customHeight="1">
      <x:c r="A18" s="2"/>
      <x:c r="B18" s="2"/>
      <x:c r="C18" s="32"/>
      <x:c r="D18" s="3"/>
      <x:c r="E18" s="3"/>
      <x:c r="F18" s="3"/>
      <x:c r="G18" s="3"/>
      <x:c r="H18" s="3"/>
      <x:c r="I18" s="3"/>
      <x:c r="J18" s="3"/>
      <x:c r="K18" s="3"/>
      <x:c r="L18" s="3"/>
      <x:c r="M18" s="3"/>
      <x:c r="N18" s="3"/>
      <x:c r="O18" s="3"/>
      <x:c r="P18" s="3"/>
      <x:c r="Q18" s="3"/>
      <x:c r="R18" s="3"/>
      <x:c r="S18" s="3"/>
      <x:c r="T18" s="3"/>
    </x:row>
    <x:row r="19" ht="25" customHeight="1">
      <x:c r="A19" s="2"/>
      <x:c r="B19" s="2"/>
      <x:c r="C19" s="32"/>
      <x:c r="D19" s="3"/>
      <x:c r="E19" s="3"/>
      <x:c r="F19" s="3"/>
      <x:c r="G19" s="3"/>
      <x:c r="H19" s="3"/>
      <x:c r="I19" s="3"/>
      <x:c r="J19" s="3"/>
      <x:c r="K19" s="3"/>
      <x:c r="L19" s="3"/>
      <x:c r="M19" s="3"/>
      <x:c r="N19" s="3"/>
      <x:c r="O19" s="3"/>
      <x:c r="P19" s="3"/>
      <x:c r="Q19" s="3"/>
      <x:c r="R19" s="3"/>
      <x:c r="S19" s="3"/>
      <x:c r="T19" s="3"/>
    </x:row>
    <x:row r="20" ht="27" customHeight="1">
      <x:c r="A20" s="2"/>
      <x:c r="B20" s="2"/>
      <x:c r="C20" s="61" t="str">
        <x:v>Investor logic by round</x:v>
      </x:c>
      <x:c r="D20" s="15"/>
      <x:c r="E20" s="15"/>
      <x:c r="F20" s="15"/>
      <x:c r="G20" s="15"/>
      <x:c r="H20" s="15"/>
      <x:c r="I20" s="15"/>
      <x:c r="J20" s="15"/>
      <x:c r="K20" s="15"/>
      <x:c r="L20" s="15"/>
      <x:c r="M20" s="15"/>
      <x:c r="N20" s="15"/>
      <x:c r="O20" s="15"/>
      <x:c r="P20" s="15"/>
      <x:c r="Q20" s="15"/>
      <x:c r="R20" s="15"/>
      <x:c r="S20" s="15"/>
      <x:c r="T20" s="15"/>
    </x:row>
    <x:row r="21" ht="25" customHeight="1">
      <x:c r="A21" s="2"/>
      <x:c r="B21" s="2"/>
      <x:c r="C21" s="32" t="str">
        <x:v>Round</x:v>
      </x:c>
      <x:c r="D21" s="33" t="str">
        <x:v>Timing</x:v>
      </x:c>
      <x:c r="E21" s="33" t="str">
        <x:v>Gross EUR m</x:v>
      </x:c>
      <x:c r="F21" s="33" t="str">
        <x:v>Capital use</x:v>
      </x:c>
      <x:c r="G21" s="33"/>
      <x:c r="H21" s="33"/>
      <x:c r="I21" s="33"/>
      <x:c r="J21" s="33"/>
      <x:c r="K21" s="33" t="str">
        <x:v>Evidence required before next round</x:v>
      </x:c>
      <x:c r="L21" s="33"/>
      <x:c r="M21" s="33"/>
      <x:c r="N21" s="33"/>
      <x:c r="O21" s="33"/>
      <x:c r="P21" s="33"/>
      <x:c r="Q21" s="33"/>
      <x:c r="R21" s="33"/>
      <x:c r="S21" s="33"/>
      <x:c r="T21" s="33"/>
    </x:row>
    <x:row r="22" ht="50" customHeight="1">
      <x:c r="A22" s="2"/>
      <x:c r="B22" s="2"/>
      <x:c r="C22" s="32" t="str">
        <x:v>Pre-seed</x:v>
      </x:c>
      <x:c r="D22" s="33" t="str">
        <x:v>Q4 2026</x:v>
      </x:c>
      <x:c r="E22" s="34" t="n">
        <x:v>1</x:v>
      </x:c>
      <x:c r="F22" s="33" t="str">
        <x:v>Build the Map product and deliver five paid design partners</x:v>
      </x:c>
      <x:c r="G22" s="33"/>
      <x:c r="H22" s="33"/>
      <x:c r="I22" s="33"/>
      <x:c r="J22" s="33"/>
      <x:c r="K22" s="33" t="str">
        <x:v>Paid scope, accepted Maps, one implemented result and measured delivery effort</x:v>
      </x:c>
      <x:c r="L22" s="33"/>
      <x:c r="M22" s="33"/>
      <x:c r="N22" s="33"/>
      <x:c r="O22" s="33"/>
      <x:c r="P22" s="33"/>
      <x:c r="Q22" s="33"/>
      <x:c r="R22" s="33"/>
      <x:c r="S22" s="33"/>
      <x:c r="T22" s="33"/>
    </x:row>
    <x:row r="23" ht="50" customHeight="1">
      <x:c r="A23" s="2"/>
      <x:c r="B23" s="2"/>
      <x:c r="C23" s="32" t="str">
        <x:v>Seed</x:v>
      </x:c>
      <x:c r="D23" s="33" t="str">
        <x:v>Q1 2027</x:v>
      </x:c>
      <x:c r="E23" s="34" t="n">
        <x:v>5</x:v>
      </x:c>
      <x:c r="F23" s="33" t="str">
        <x:v>Repeat comparable delivery and launch the recurring platform</x:v>
      </x:c>
      <x:c r="G23" s="33"/>
      <x:c r="H23" s="33"/>
      <x:c r="I23" s="33"/>
      <x:c r="J23" s="33"/>
      <x:c r="K23" s="33" t="str">
        <x:v>Platform conversion, paid calibration and improving delivery economics</x:v>
      </x:c>
      <x:c r="L23" s="33"/>
      <x:c r="M23" s="33"/>
      <x:c r="N23" s="33"/>
      <x:c r="O23" s="33"/>
      <x:c r="P23" s="33"/>
      <x:c r="Q23" s="33"/>
      <x:c r="R23" s="33"/>
      <x:c r="S23" s="33"/>
      <x:c r="T23" s="33"/>
    </x:row>
    <x:row r="24" ht="50" customHeight="1">
      <x:c r="A24" s="2"/>
      <x:c r="B24" s="2"/>
      <x:c r="C24" s="32" t="str">
        <x:v>Series A</x:v>
      </x:c>
      <x:c r="D24" s="33" t="str">
        <x:v>Q1 2028</x:v>
      </x:c>
      <x:c r="E24" s="34" t="n">
        <x:v>22</x:v>
      </x:c>
      <x:c r="F24" s="33" t="str">
        <x:v>Scale Nordic sales after repeatable delivery</x:v>
      </x:c>
      <x:c r="G24" s="33"/>
      <x:c r="H24" s="33"/>
      <x:c r="I24" s="33"/>
      <x:c r="J24" s="33"/>
      <x:c r="K24" s="33" t="str">
        <x:v>Founder-independent sales, retention and controlled implementation costs</x:v>
      </x:c>
      <x:c r="L24" s="33"/>
      <x:c r="M24" s="33"/>
      <x:c r="N24" s="33"/>
      <x:c r="O24" s="33"/>
      <x:c r="P24" s="33"/>
      <x:c r="Q24" s="33"/>
      <x:c r="R24" s="33"/>
      <x:c r="S24" s="33"/>
      <x:c r="T24" s="33"/>
    </x:row>
    <x:row r="25" ht="50" customHeight="1">
      <x:c r="A25" s="2"/>
      <x:c r="B25" s="2"/>
      <x:c r="C25" s="32" t="str">
        <x:v>Optional Series B</x:v>
      </x:c>
      <x:c r="D25" s="33" t="str">
        <x:v>2029–2030</x:v>
      </x:c>
      <x:c r="E25" s="34" t="n">
        <x:v>0</x:v>
      </x:c>
      <x:c r="F25" s="33" t="str">
        <x:v>Accelerate category capture beyond the base plan</x:v>
      </x:c>
      <x:c r="G25" s="33"/>
      <x:c r="H25" s="33"/>
      <x:c r="I25" s="33"/>
      <x:c r="J25" s="33"/>
      <x:c r="K25" s="33" t="str">
        <x:v>Repeatable multi-market GTM, connected adoption and a clear use for acceleration capital</x:v>
      </x:c>
      <x:c r="L25" s="33"/>
      <x:c r="M25" s="33"/>
      <x:c r="N25" s="33"/>
      <x:c r="O25" s="33"/>
      <x:c r="P25" s="33"/>
      <x:c r="Q25" s="33"/>
      <x:c r="R25" s="33"/>
      <x:c r="S25" s="33"/>
      <x:c r="T25" s="33"/>
    </x:row>
    <x:row r="26" ht="25" customHeight="1">
      <x:c r="A26" s="2"/>
      <x:c r="B26" s="2"/>
      <x:c r="C26" s="32"/>
      <x:c r="D26" s="3"/>
      <x:c r="E26" s="3"/>
      <x:c r="F26" s="3"/>
      <x:c r="G26" s="3"/>
      <x:c r="H26" s="3"/>
      <x:c r="I26" s="3"/>
      <x:c r="J26" s="3"/>
      <x:c r="K26" s="3"/>
      <x:c r="L26" s="3"/>
      <x:c r="M26" s="3"/>
      <x:c r="N26" s="3"/>
      <x:c r="O26" s="3"/>
      <x:c r="P26" s="3"/>
      <x:c r="Q26" s="3"/>
      <x:c r="R26" s="3"/>
      <x:c r="S26" s="3"/>
      <x:c r="T26" s="3"/>
    </x:row>
    <x:row r="27" ht="25" customHeight="1">
      <x:c r="A27" s="2"/>
      <x:c r="B27" s="2"/>
      <x:c r="C27" s="32"/>
      <x:c r="D27" s="3"/>
      <x:c r="E27" s="3"/>
      <x:c r="F27" s="3"/>
      <x:c r="G27" s="3"/>
      <x:c r="H27" s="3"/>
      <x:c r="I27" s="3"/>
      <x:c r="J27" s="3"/>
      <x:c r="K27" s="3"/>
      <x:c r="L27" s="3"/>
      <x:c r="M27" s="3"/>
      <x:c r="N27" s="3"/>
      <x:c r="O27" s="3"/>
      <x:c r="P27" s="3"/>
      <x:c r="Q27" s="3"/>
      <x:c r="R27" s="3"/>
      <x:c r="S27" s="3"/>
      <x:c r="T27" s="3"/>
    </x:row>
    <x:row r="28" ht="42" customHeight="1">
      <x:c r="A28" s="2"/>
      <x:c r="B28" s="2"/>
      <x:c r="C28" s="36" t="str">
        <x:v>The base plan includes EUR 28m gross through Series A. Series B is an option and carries zero proceeds here. Add it only when European sales productivity and connected adoption support acceleration.</x:v>
      </x:c>
      <x:c r="D28" s="18"/>
      <x:c r="E28" s="18"/>
      <x:c r="F28" s="18"/>
      <x:c r="G28" s="18"/>
      <x:c r="H28" s="18"/>
      <x:c r="I28" s="18"/>
      <x:c r="J28" s="18"/>
      <x:c r="K28" s="18"/>
      <x:c r="L28" s="18"/>
      <x:c r="M28" s="18"/>
      <x:c r="N28" s="18"/>
      <x:c r="O28" s="18"/>
      <x:c r="P28" s="18"/>
      <x:c r="Q28" s="18"/>
      <x:c r="R28" s="18"/>
      <x:c r="S28" s="18"/>
      <x:c r="T28" s="18"/>
    </x:row>
    <x:row r="29" ht="25" customHeight="1">
      <x:c r="A29" s="2"/>
      <x:c r="B29" s="2"/>
      <x:c r="C29" s="32"/>
      <x:c r="D29" s="3"/>
      <x:c r="E29" s="3"/>
      <x:c r="F29" s="3"/>
      <x:c r="G29" s="3"/>
      <x:c r="H29" s="3"/>
      <x:c r="I29" s="3"/>
      <x:c r="J29" s="3"/>
      <x:c r="K29" s="3"/>
      <x:c r="L29" s="3"/>
      <x:c r="M29" s="3"/>
      <x:c r="N29" s="3"/>
      <x:c r="O29" s="3"/>
      <x:c r="P29" s="3"/>
      <x:c r="Q29" s="3"/>
      <x:c r="R29" s="3"/>
      <x:c r="S29" s="3"/>
      <x:c r="T29" s="3"/>
    </x:row>
    <x:row r="30" ht="25" customHeight="1">
      <x:c r="A30" s="2"/>
      <x:c r="B30" s="2"/>
      <x:c r="C30" s="32"/>
      <x:c r="D30" s="3"/>
      <x:c r="E30" s="3"/>
      <x:c r="F30" s="3"/>
      <x:c r="G30" s="3"/>
      <x:c r="H30" s="3"/>
      <x:c r="I30" s="3"/>
      <x:c r="J30" s="3"/>
      <x:c r="K30" s="3"/>
      <x:c r="L30" s="3"/>
      <x:c r="M30" s="3"/>
      <x:c r="N30" s="3"/>
      <x:c r="O30" s="3"/>
      <x:c r="P30" s="3"/>
      <x:c r="Q30" s="3"/>
      <x:c r="R30" s="3"/>
      <x:c r="S30" s="3"/>
      <x:c r="T30" s="3"/>
    </x:row>
    <x:row r="31" ht="25" customHeight="1">
      <x:c r="A31" s="2"/>
      <x:c r="B31" s="2"/>
      <x:c r="C31" s="2"/>
      <x:c r="D31" s="3"/>
      <x:c r="E31" s="3"/>
      <x:c r="F31" s="3"/>
      <x:c r="G31" s="3"/>
      <x:c r="H31" s="3"/>
      <x:c r="I31" s="3"/>
      <x:c r="J31" s="3"/>
      <x:c r="K31" s="3"/>
      <x:c r="L31" s="3"/>
      <x:c r="M31" s="3"/>
      <x:c r="N31" s="3"/>
      <x:c r="O31" s="3"/>
      <x:c r="P31" s="3"/>
      <x:c r="Q31" s="3"/>
      <x:c r="R31" s="3"/>
      <x:c r="S31" s="3"/>
      <x:c r="T31" s="3"/>
    </x:row>
    <x:row r="32" ht="25" customHeight="1">
      <x:c r="A32" s="2"/>
      <x:c r="B32" s="2"/>
      <x:c r="C32" s="2"/>
      <x:c r="D32" s="3"/>
      <x:c r="E32" s="3"/>
      <x:c r="F32" s="3"/>
      <x:c r="G32" s="3"/>
      <x:c r="H32" s="3"/>
      <x:c r="I32" s="3"/>
      <x:c r="J32" s="3"/>
      <x:c r="K32" s="3"/>
      <x:c r="L32" s="3"/>
      <x:c r="M32" s="3"/>
      <x:c r="N32" s="3"/>
      <x:c r="O32" s="3"/>
      <x:c r="P32" s="3"/>
      <x:c r="Q32" s="3"/>
      <x:c r="R32" s="3"/>
      <x:c r="S32" s="3"/>
      <x:c r="T32" s="3"/>
    </x:row>
    <x:row r="33" ht="25" customHeight="1">
      <x:c r="A33" s="2"/>
      <x:c r="B33" s="2"/>
      <x:c r="C33" s="2"/>
      <x:c r="D33" s="3"/>
      <x:c r="E33" s="3"/>
      <x:c r="F33" s="3"/>
      <x:c r="G33" s="3"/>
      <x:c r="H33" s="3"/>
      <x:c r="I33" s="3"/>
      <x:c r="J33" s="3"/>
      <x:c r="K33" s="3"/>
      <x:c r="L33" s="3"/>
      <x:c r="M33" s="3"/>
      <x:c r="N33" s="3"/>
      <x:c r="O33" s="3"/>
      <x:c r="P33" s="3"/>
      <x:c r="Q33" s="3"/>
      <x:c r="R33" s="3"/>
      <x:c r="S33" s="3"/>
      <x:c r="T33" s="3"/>
    </x:row>
    <x:row r="34" ht="25" customHeight="1">
      <x:c r="A34" s="2"/>
      <x:c r="B34" s="2"/>
      <x:c r="C34" s="2"/>
      <x:c r="D34" s="3"/>
      <x:c r="E34" s="3"/>
      <x:c r="F34" s="3"/>
      <x:c r="G34" s="3"/>
      <x:c r="H34" s="3"/>
      <x:c r="I34" s="3"/>
      <x:c r="J34" s="3"/>
      <x:c r="K34" s="3"/>
      <x:c r="L34" s="3"/>
      <x:c r="M34" s="3"/>
      <x:c r="N34" s="3"/>
      <x:c r="O34" s="3"/>
      <x:c r="P34" s="3"/>
      <x:c r="Q34" s="3"/>
      <x:c r="R34" s="3"/>
      <x:c r="S34" s="3"/>
      <x:c r="T34" s="3"/>
    </x:row>
    <x:row r="35" ht="25" customHeight="1">
      <x:c r="A35" s="2"/>
      <x:c r="B35" s="2"/>
      <x:c r="C35" s="2"/>
      <x:c r="D35" s="3"/>
      <x:c r="E35" s="3"/>
      <x:c r="F35" s="3"/>
      <x:c r="G35" s="3"/>
      <x:c r="H35" s="3"/>
      <x:c r="I35" s="3"/>
      <x:c r="J35" s="3"/>
      <x:c r="K35" s="3"/>
      <x:c r="L35" s="3"/>
      <x:c r="M35" s="3"/>
      <x:c r="N35" s="3"/>
      <x:c r="O35" s="3"/>
      <x:c r="P35" s="3"/>
      <x:c r="Q35" s="3"/>
      <x:c r="R35" s="3"/>
      <x:c r="S35" s="3"/>
      <x:c r="T35" s="3"/>
    </x:row>
    <x:row r="36" ht="25" customHeight="1">
      <x:c r="A36" s="2"/>
      <x:c r="B36" s="2"/>
      <x:c r="C36" s="2"/>
      <x:c r="D36" s="3"/>
      <x:c r="E36" s="3"/>
      <x:c r="F36" s="3"/>
      <x:c r="G36" s="3"/>
      <x:c r="H36" s="3"/>
      <x:c r="I36" s="3"/>
      <x:c r="J36" s="3"/>
      <x:c r="K36" s="3"/>
      <x:c r="L36" s="3"/>
      <x:c r="M36" s="3"/>
      <x:c r="N36" s="3"/>
      <x:c r="O36" s="3"/>
      <x:c r="P36" s="3"/>
      <x:c r="Q36" s="3"/>
      <x:c r="R36" s="3"/>
      <x:c r="S36" s="3"/>
      <x:c r="T36" s="3"/>
    </x:row>
    <x:row r="37" ht="25" customHeight="1">
      <x:c r="A37" s="2"/>
      <x:c r="B37" s="2"/>
      <x:c r="C37" s="2"/>
      <x:c r="D37" s="3"/>
      <x:c r="E37" s="3"/>
      <x:c r="F37" s="3"/>
      <x:c r="G37" s="3"/>
      <x:c r="H37" s="3"/>
      <x:c r="I37" s="3"/>
      <x:c r="J37" s="3"/>
      <x:c r="K37" s="3"/>
      <x:c r="L37" s="3"/>
      <x:c r="M37" s="3"/>
      <x:c r="N37" s="3"/>
      <x:c r="O37" s="3"/>
      <x:c r="P37" s="3"/>
      <x:c r="Q37" s="3"/>
      <x:c r="R37" s="3"/>
      <x:c r="S37" s="3"/>
      <x:c r="T37" s="3"/>
    </x:row>
    <x:row r="38" ht="25" customHeight="1">
      <x:c r="A38" s="2"/>
      <x:c r="B38" s="2"/>
      <x:c r="C38" s="2"/>
      <x:c r="D38" s="3"/>
      <x:c r="E38" s="3"/>
      <x:c r="F38" s="3"/>
      <x:c r="G38" s="3"/>
      <x:c r="H38" s="3"/>
      <x:c r="I38" s="3"/>
      <x:c r="J38" s="3"/>
      <x:c r="K38" s="3"/>
      <x:c r="L38" s="3"/>
      <x:c r="M38" s="3"/>
      <x:c r="N38" s="3"/>
      <x:c r="O38" s="3"/>
      <x:c r="P38" s="3"/>
      <x:c r="Q38" s="3"/>
      <x:c r="R38" s="3"/>
      <x:c r="S38" s="3"/>
      <x:c r="T38" s="3"/>
    </x:row>
    <x:row r="39" ht="25" customHeight="1">
      <x:c r="A39" s="2"/>
      <x:c r="B39" s="2"/>
      <x:c r="C39" s="2"/>
      <x:c r="D39" s="3"/>
      <x:c r="E39" s="3"/>
      <x:c r="F39" s="3"/>
      <x:c r="G39" s="3"/>
      <x:c r="H39" s="3"/>
      <x:c r="I39" s="3"/>
      <x:c r="J39" s="3"/>
      <x:c r="K39" s="3"/>
      <x:c r="L39" s="3"/>
      <x:c r="M39" s="3"/>
      <x:c r="N39" s="3"/>
      <x:c r="O39" s="3"/>
      <x:c r="P39" s="3"/>
      <x:c r="Q39" s="3"/>
      <x:c r="R39" s="3"/>
      <x:c r="S39" s="3"/>
      <x:c r="T39" s="3"/>
    </x:row>
    <x:row r="40" ht="25" customHeight="1">
      <x:c r="A40" s="2"/>
      <x:c r="B40" s="2"/>
      <x:c r="C40" s="2"/>
      <x:c r="D40" s="3"/>
      <x:c r="E40" s="3"/>
      <x:c r="F40" s="3"/>
      <x:c r="G40" s="3"/>
      <x:c r="H40" s="3"/>
      <x:c r="I40" s="3"/>
      <x:c r="J40" s="3"/>
      <x:c r="K40" s="3"/>
      <x:c r="L40" s="3"/>
      <x:c r="M40" s="3"/>
      <x:c r="N40" s="3"/>
      <x:c r="O40" s="3"/>
      <x:c r="P40" s="3"/>
      <x:c r="Q40" s="3"/>
      <x:c r="R40" s="3"/>
      <x:c r="S40" s="3"/>
      <x:c r="T40" s="3"/>
    </x:row>
    <x:row r="41" ht="25" customHeight="1">
      <x:c r="A41" s="2"/>
      <x:c r="B41" s="2"/>
      <x:c r="C41" s="2"/>
      <x:c r="D41" s="3"/>
      <x:c r="E41" s="3"/>
      <x:c r="F41" s="3"/>
      <x:c r="G41" s="3"/>
      <x:c r="H41" s="3"/>
      <x:c r="I41" s="3"/>
      <x:c r="J41" s="3"/>
      <x:c r="K41" s="3"/>
      <x:c r="L41" s="3"/>
      <x:c r="M41" s="3"/>
      <x:c r="N41" s="3"/>
      <x:c r="O41" s="3"/>
      <x:c r="P41" s="3"/>
      <x:c r="Q41" s="3"/>
      <x:c r="R41" s="3"/>
      <x:c r="S41" s="3"/>
      <x:c r="T41" s="3"/>
    </x:row>
    <x:row r="42" ht="25" customHeight="1">
      <x:c r="A42" s="2"/>
      <x:c r="B42" s="2"/>
      <x:c r="C42" s="2"/>
      <x:c r="D42" s="3"/>
      <x:c r="E42" s="3"/>
      <x:c r="F42" s="3"/>
      <x:c r="G42" s="3"/>
      <x:c r="H42" s="3"/>
      <x:c r="I42" s="3"/>
      <x:c r="J42" s="3"/>
      <x:c r="K42" s="3"/>
      <x:c r="L42" s="3"/>
      <x:c r="M42" s="3"/>
      <x:c r="N42" s="3"/>
      <x:c r="O42" s="3"/>
      <x:c r="P42" s="3"/>
      <x:c r="Q42" s="3"/>
      <x:c r="R42" s="3"/>
      <x:c r="S42" s="3"/>
      <x:c r="T42" s="3"/>
    </x:row>
    <x:row r="43" ht="25" customHeight="1">
      <x:c r="A43" s="2"/>
      <x:c r="B43" s="2"/>
      <x:c r="C43" s="2"/>
      <x:c r="D43" s="3"/>
      <x:c r="E43" s="3"/>
      <x:c r="F43" s="3"/>
      <x:c r="G43" s="3"/>
      <x:c r="H43" s="3"/>
      <x:c r="I43" s="3"/>
      <x:c r="J43" s="3"/>
      <x:c r="K43" s="3"/>
      <x:c r="L43" s="3"/>
      <x:c r="M43" s="3"/>
      <x:c r="N43" s="3"/>
      <x:c r="O43" s="3"/>
      <x:c r="P43" s="3"/>
      <x:c r="Q43" s="3"/>
      <x:c r="R43" s="3"/>
      <x:c r="S43" s="3"/>
      <x:c r="T43" s="3"/>
    </x:row>
    <x:row r="44" ht="25" customHeight="1">
      <x:c r="A44" s="2"/>
      <x:c r="B44" s="2"/>
      <x:c r="C44" s="2"/>
      <x:c r="D44" s="3"/>
      <x:c r="E44" s="3"/>
      <x:c r="F44" s="3"/>
      <x:c r="G44" s="3"/>
      <x:c r="H44" s="3"/>
      <x:c r="I44" s="3"/>
      <x:c r="J44" s="3"/>
      <x:c r="K44" s="3"/>
      <x:c r="L44" s="3"/>
      <x:c r="M44" s="3"/>
      <x:c r="N44" s="3"/>
      <x:c r="O44" s="3"/>
      <x:c r="P44" s="3"/>
      <x:c r="Q44" s="3"/>
      <x:c r="R44" s="3"/>
      <x:c r="S44" s="3"/>
      <x:c r="T44" s="3"/>
    </x:row>
    <x:row r="45" ht="25" customHeight="1">
      <x:c r="A45" s="2"/>
      <x:c r="B45" s="2"/>
      <x:c r="C45" s="2"/>
      <x:c r="D45" s="3"/>
      <x:c r="E45" s="3"/>
      <x:c r="F45" s="3"/>
      <x:c r="G45" s="3"/>
      <x:c r="H45" s="3"/>
      <x:c r="I45" s="3"/>
      <x:c r="J45" s="3"/>
      <x:c r="K45" s="3"/>
      <x:c r="L45" s="3"/>
      <x:c r="M45" s="3"/>
      <x:c r="N45" s="3"/>
      <x:c r="O45" s="3"/>
      <x:c r="P45" s="3"/>
      <x:c r="Q45" s="3"/>
      <x:c r="R45" s="3"/>
      <x:c r="S45" s="3"/>
      <x:c r="T45" s="3"/>
    </x:row>
    <x:row r="46" ht="25" customHeight="1">
      <x:c r="A46" s="2"/>
      <x:c r="B46" s="2"/>
      <x:c r="C46" s="2"/>
      <x:c r="D46" s="3"/>
      <x:c r="E46" s="3"/>
      <x:c r="F46" s="3"/>
      <x:c r="G46" s="3"/>
      <x:c r="H46" s="3"/>
      <x:c r="I46" s="3"/>
      <x:c r="J46" s="3"/>
      <x:c r="K46" s="3"/>
      <x:c r="L46" s="3"/>
      <x:c r="M46" s="3"/>
      <x:c r="N46" s="3"/>
      <x:c r="O46" s="3"/>
      <x:c r="P46" s="3"/>
      <x:c r="Q46" s="3"/>
      <x:c r="R46" s="3"/>
      <x:c r="S46" s="3"/>
      <x:c r="T46" s="3"/>
    </x:row>
    <x:row r="47" ht="25" customHeight="1">
      <x:c r="A47" s="2"/>
      <x:c r="B47" s="2"/>
      <x:c r="C47" s="2"/>
      <x:c r="D47" s="3"/>
      <x:c r="E47" s="3"/>
      <x:c r="F47" s="3"/>
      <x:c r="G47" s="3"/>
      <x:c r="H47" s="3"/>
      <x:c r="I47" s="3"/>
      <x:c r="J47" s="3"/>
      <x:c r="K47" s="3"/>
      <x:c r="L47" s="3"/>
      <x:c r="M47" s="3"/>
      <x:c r="N47" s="3"/>
      <x:c r="O47" s="3"/>
      <x:c r="P47" s="3"/>
      <x:c r="Q47" s="3"/>
      <x:c r="R47" s="3"/>
      <x:c r="S47" s="3"/>
      <x:c r="T47" s="3"/>
    </x:row>
    <x:row r="48" ht="25" customHeight="1">
      <x:c r="A48" s="2"/>
      <x:c r="B48" s="2"/>
      <x:c r="C48" s="2"/>
      <x:c r="D48" s="3"/>
      <x:c r="E48" s="3"/>
      <x:c r="F48" s="3"/>
      <x:c r="G48" s="3"/>
      <x:c r="H48" s="3"/>
      <x:c r="I48" s="3"/>
      <x:c r="J48" s="3"/>
      <x:c r="K48" s="3"/>
      <x:c r="L48" s="3"/>
      <x:c r="M48" s="3"/>
      <x:c r="N48" s="3"/>
      <x:c r="O48" s="3"/>
      <x:c r="P48" s="3"/>
      <x:c r="Q48" s="3"/>
      <x:c r="R48" s="3"/>
      <x:c r="S48" s="3"/>
      <x:c r="T48" s="3"/>
    </x:row>
    <x:row r="49" ht="25" customHeight="1">
      <x:c r="A49" s="2"/>
      <x:c r="B49" s="2"/>
      <x:c r="C49" s="2"/>
      <x:c r="D49" s="3"/>
      <x:c r="E49" s="3"/>
      <x:c r="F49" s="3"/>
      <x:c r="G49" s="3"/>
      <x:c r="H49" s="3"/>
      <x:c r="I49" s="3"/>
      <x:c r="J49" s="3"/>
      <x:c r="K49" s="3"/>
      <x:c r="L49" s="3"/>
      <x:c r="M49" s="3"/>
      <x:c r="N49" s="3"/>
      <x:c r="O49" s="3"/>
      <x:c r="P49" s="3"/>
      <x:c r="Q49" s="3"/>
      <x:c r="R49" s="3"/>
      <x:c r="S49" s="3"/>
      <x:c r="T49" s="3"/>
    </x:row>
    <x:row r="50" ht="25" customHeight="1">
      <x:c r="A50" s="2"/>
      <x:c r="B50" s="2"/>
      <x:c r="C50" s="2"/>
      <x:c r="D50" s="3"/>
      <x:c r="E50" s="3"/>
      <x:c r="F50" s="3"/>
      <x:c r="G50" s="3"/>
      <x:c r="H50" s="3"/>
      <x:c r="I50" s="3"/>
      <x:c r="J50" s="3"/>
      <x:c r="K50" s="3"/>
      <x:c r="L50" s="3"/>
      <x:c r="M50" s="3"/>
      <x:c r="N50" s="3"/>
      <x:c r="O50" s="3"/>
      <x:c r="P50" s="3"/>
      <x:c r="Q50" s="3"/>
      <x:c r="R50" s="3"/>
      <x:c r="S50" s="3"/>
      <x:c r="T50" s="3"/>
    </x:row>
    <x:row r="51" ht="25" customHeight="1">
      <x:c r="A51" s="2"/>
      <x:c r="B51" s="2"/>
      <x:c r="C51" s="2"/>
      <x:c r="D51" s="3"/>
      <x:c r="E51" s="3"/>
      <x:c r="F51" s="3"/>
      <x:c r="G51" s="3"/>
      <x:c r="H51" s="3"/>
      <x:c r="I51" s="3"/>
      <x:c r="J51" s="3"/>
      <x:c r="K51" s="3"/>
      <x:c r="L51" s="3"/>
      <x:c r="M51" s="3"/>
      <x:c r="N51" s="3"/>
      <x:c r="O51" s="3"/>
      <x:c r="P51" s="3"/>
      <x:c r="Q51" s="3"/>
      <x:c r="R51" s="3"/>
      <x:c r="S51" s="3"/>
      <x:c r="T51" s="3"/>
    </x:row>
    <x:row r="52" ht="25" customHeight="1">
      <x:c r="A52" s="2"/>
      <x:c r="B52" s="2"/>
      <x:c r="C52" s="2"/>
      <x:c r="D52" s="3"/>
      <x:c r="E52" s="3"/>
      <x:c r="F52" s="3"/>
      <x:c r="G52" s="3"/>
      <x:c r="H52" s="3"/>
      <x:c r="I52" s="3"/>
      <x:c r="J52" s="3"/>
      <x:c r="K52" s="3"/>
      <x:c r="L52" s="3"/>
      <x:c r="M52" s="3"/>
      <x:c r="N52" s="3"/>
      <x:c r="O52" s="3"/>
      <x:c r="P52" s="3"/>
      <x:c r="Q52" s="3"/>
      <x:c r="R52" s="3"/>
      <x:c r="S52" s="3"/>
      <x:c r="T52" s="3"/>
    </x:row>
    <x:row r="53" ht="25" customHeight="1">
      <x:c r="A53" s="2"/>
      <x:c r="B53" s="2"/>
      <x:c r="C53" s="2"/>
      <x:c r="D53" s="3"/>
      <x:c r="E53" s="3"/>
      <x:c r="F53" s="3"/>
      <x:c r="G53" s="3"/>
      <x:c r="H53" s="3"/>
      <x:c r="I53" s="3"/>
      <x:c r="J53" s="3"/>
      <x:c r="K53" s="3"/>
      <x:c r="L53" s="3"/>
      <x:c r="M53" s="3"/>
      <x:c r="N53" s="3"/>
      <x:c r="O53" s="3"/>
      <x:c r="P53" s="3"/>
      <x:c r="Q53" s="3"/>
      <x:c r="R53" s="3"/>
      <x:c r="S53" s="3"/>
      <x:c r="T53" s="3"/>
    </x:row>
    <x:row r="54" ht="25" customHeight="1">
      <x:c r="A54" s="2"/>
      <x:c r="B54" s="2"/>
      <x:c r="C54" s="2"/>
      <x:c r="D54" s="3"/>
      <x:c r="E54" s="3"/>
      <x:c r="F54" s="3"/>
      <x:c r="G54" s="3"/>
      <x:c r="H54" s="3"/>
      <x:c r="I54" s="3"/>
      <x:c r="J54" s="3"/>
      <x:c r="K54" s="3"/>
      <x:c r="L54" s="3"/>
      <x:c r="M54" s="3"/>
      <x:c r="N54" s="3"/>
      <x:c r="O54" s="3"/>
      <x:c r="P54" s="3"/>
      <x:c r="Q54" s="3"/>
      <x:c r="R54" s="3"/>
      <x:c r="S54" s="3"/>
      <x:c r="T54" s="3"/>
    </x:row>
    <x:row r="55" ht="25" customHeight="1">
      <x:c r="A55" s="2"/>
      <x:c r="B55" s="2"/>
      <x:c r="C55" s="2"/>
      <x:c r="D55" s="3"/>
      <x:c r="E55" s="3"/>
      <x:c r="F55" s="3"/>
      <x:c r="G55" s="3"/>
      <x:c r="H55" s="3"/>
      <x:c r="I55" s="3"/>
      <x:c r="J55" s="3"/>
      <x:c r="K55" s="3"/>
      <x:c r="L55" s="3"/>
      <x:c r="M55" s="3"/>
      <x:c r="N55" s="3"/>
      <x:c r="O55" s="3"/>
      <x:c r="P55" s="3"/>
      <x:c r="Q55" s="3"/>
      <x:c r="R55" s="3"/>
      <x:c r="S55" s="3"/>
      <x:c r="T55" s="3"/>
    </x:row>
    <x:row r="56" ht="25" customHeight="1">
      <x:c r="A56" s="2"/>
      <x:c r="B56" s="2"/>
      <x:c r="C56" s="2"/>
      <x:c r="D56" s="3"/>
      <x:c r="E56" s="3"/>
      <x:c r="F56" s="3"/>
      <x:c r="G56" s="3"/>
      <x:c r="H56" s="3"/>
      <x:c r="I56" s="3"/>
      <x:c r="J56" s="3"/>
      <x:c r="K56" s="3"/>
      <x:c r="L56" s="3"/>
      <x:c r="M56" s="3"/>
      <x:c r="N56" s="3"/>
      <x:c r="O56" s="3"/>
      <x:c r="P56" s="3"/>
      <x:c r="Q56" s="3"/>
      <x:c r="R56" s="3"/>
      <x:c r="S56" s="3"/>
      <x:c r="T56" s="3"/>
    </x:row>
    <x:row r="57" ht="25" customHeight="1">
      <x:c r="A57" s="2"/>
      <x:c r="B57" s="2"/>
      <x:c r="C57" s="2"/>
      <x:c r="D57" s="3"/>
      <x:c r="E57" s="3"/>
      <x:c r="F57" s="3"/>
      <x:c r="G57" s="3"/>
      <x:c r="H57" s="3"/>
      <x:c r="I57" s="3"/>
      <x:c r="J57" s="3"/>
      <x:c r="K57" s="3"/>
      <x:c r="L57" s="3"/>
      <x:c r="M57" s="3"/>
      <x:c r="N57" s="3"/>
      <x:c r="O57" s="3"/>
      <x:c r="P57" s="3"/>
      <x:c r="Q57" s="3"/>
      <x:c r="R57" s="3"/>
      <x:c r="S57" s="3"/>
      <x:c r="T57" s="3"/>
    </x:row>
    <x:row r="58" ht="25" customHeight="1">
      <x:c r="A58" s="2"/>
      <x:c r="B58" s="2"/>
      <x:c r="C58" s="2"/>
      <x:c r="D58" s="3"/>
      <x:c r="E58" s="3"/>
      <x:c r="F58" s="3"/>
      <x:c r="G58" s="3"/>
      <x:c r="H58" s="3"/>
      <x:c r="I58" s="3"/>
      <x:c r="J58" s="3"/>
      <x:c r="K58" s="3"/>
      <x:c r="L58" s="3"/>
      <x:c r="M58" s="3"/>
      <x:c r="N58" s="3"/>
      <x:c r="O58" s="3"/>
      <x:c r="P58" s="3"/>
      <x:c r="Q58" s="3"/>
      <x:c r="R58" s="3"/>
      <x:c r="S58" s="3"/>
      <x:c r="T58" s="3"/>
    </x:row>
    <x:row r="59" ht="25" customHeight="1">
      <x:c r="A59" s="2"/>
      <x:c r="B59" s="2"/>
      <x:c r="C59" s="2"/>
      <x:c r="D59" s="3"/>
      <x:c r="E59" s="3"/>
      <x:c r="F59" s="3"/>
      <x:c r="G59" s="3"/>
      <x:c r="H59" s="3"/>
      <x:c r="I59" s="3"/>
      <x:c r="J59" s="3"/>
      <x:c r="K59" s="3"/>
      <x:c r="L59" s="3"/>
      <x:c r="M59" s="3"/>
      <x:c r="N59" s="3"/>
      <x:c r="O59" s="3"/>
      <x:c r="P59" s="3"/>
      <x:c r="Q59" s="3"/>
      <x:c r="R59" s="3"/>
      <x:c r="S59" s="3"/>
      <x:c r="T59" s="3"/>
    </x:row>
    <x:row r="60" ht="25" customHeight="1">
      <x:c r="A60" s="2"/>
      <x:c r="B60" s="2"/>
      <x:c r="C60" s="2"/>
      <x:c r="D60" s="3"/>
      <x:c r="E60" s="3"/>
      <x:c r="F60" s="3"/>
      <x:c r="G60" s="3"/>
      <x:c r="H60" s="3"/>
      <x:c r="I60" s="3"/>
      <x:c r="J60" s="3"/>
      <x:c r="K60" s="3"/>
      <x:c r="L60" s="3"/>
      <x:c r="M60" s="3"/>
      <x:c r="N60" s="3"/>
      <x:c r="O60" s="3"/>
      <x:c r="P60" s="3"/>
      <x:c r="Q60" s="3"/>
      <x:c r="R60" s="3"/>
      <x:c r="S60" s="3"/>
      <x:c r="T60" s="3"/>
    </x:row>
    <x:row r="61" ht="25" customHeight="1">
      <x:c r="A61" s="2"/>
      <x:c r="B61" s="2"/>
      <x:c r="C61" s="2"/>
      <x:c r="D61" s="3"/>
      <x:c r="E61" s="3"/>
      <x:c r="F61" s="3"/>
      <x:c r="G61" s="3"/>
      <x:c r="H61" s="3"/>
      <x:c r="I61" s="3"/>
      <x:c r="J61" s="3"/>
      <x:c r="K61" s="3"/>
      <x:c r="L61" s="3"/>
      <x:c r="M61" s="3"/>
      <x:c r="N61" s="3"/>
      <x:c r="O61" s="3"/>
      <x:c r="P61" s="3"/>
      <x:c r="Q61" s="3"/>
      <x:c r="R61" s="3"/>
      <x:c r="S61" s="3"/>
      <x:c r="T61" s="3"/>
    </x:row>
    <x:row r="62" ht="25" customHeight="1">
      <x:c r="A62" s="2"/>
      <x:c r="B62" s="2"/>
      <x:c r="C62" s="2"/>
      <x:c r="D62" s="3"/>
      <x:c r="E62" s="3"/>
      <x:c r="F62" s="3"/>
      <x:c r="G62" s="3"/>
      <x:c r="H62" s="3"/>
      <x:c r="I62" s="3"/>
      <x:c r="J62" s="3"/>
      <x:c r="K62" s="3"/>
      <x:c r="L62" s="3"/>
      <x:c r="M62" s="3"/>
      <x:c r="N62" s="3"/>
      <x:c r="O62" s="3"/>
      <x:c r="P62" s="3"/>
      <x:c r="Q62" s="3"/>
      <x:c r="R62" s="3"/>
      <x:c r="S62" s="3"/>
      <x:c r="T62" s="3"/>
    </x:row>
    <x:row r="63" ht="25" customHeight="1">
      <x:c r="A63" s="2"/>
      <x:c r="B63" s="2"/>
      <x:c r="C63" s="2"/>
      <x:c r="D63" s="3"/>
      <x:c r="E63" s="3"/>
      <x:c r="F63" s="3"/>
      <x:c r="G63" s="3"/>
      <x:c r="H63" s="3"/>
      <x:c r="I63" s="3"/>
      <x:c r="J63" s="3"/>
      <x:c r="K63" s="3"/>
      <x:c r="L63" s="3"/>
      <x:c r="M63" s="3"/>
      <x:c r="N63" s="3"/>
      <x:c r="O63" s="3"/>
      <x:c r="P63" s="3"/>
      <x:c r="Q63" s="3"/>
      <x:c r="R63" s="3"/>
      <x:c r="S63" s="3"/>
      <x:c r="T63" s="3"/>
    </x:row>
    <x:row r="64" ht="25" customHeight="1">
      <x:c r="A64" s="2"/>
      <x:c r="B64" s="2"/>
      <x:c r="C64" s="2"/>
      <x:c r="D64" s="3"/>
      <x:c r="E64" s="3"/>
      <x:c r="F64" s="3"/>
      <x:c r="G64" s="3"/>
      <x:c r="H64" s="3"/>
      <x:c r="I64" s="3"/>
      <x:c r="J64" s="3"/>
      <x:c r="K64" s="3"/>
      <x:c r="L64" s="3"/>
      <x:c r="M64" s="3"/>
      <x:c r="N64" s="3"/>
      <x:c r="O64" s="3"/>
      <x:c r="P64" s="3"/>
      <x:c r="Q64" s="3"/>
      <x:c r="R64" s="3"/>
      <x:c r="S64" s="3"/>
      <x:c r="T64" s="3"/>
    </x:row>
    <x:row r="65" ht="25" customHeight="1">
      <x:c r="A65" s="2"/>
      <x:c r="B65" s="2"/>
      <x:c r="C65" s="2"/>
      <x:c r="D65" s="3"/>
      <x:c r="E65" s="3"/>
      <x:c r="F65" s="3"/>
      <x:c r="G65" s="3"/>
      <x:c r="H65" s="3"/>
      <x:c r="I65" s="3"/>
      <x:c r="J65" s="3"/>
      <x:c r="K65" s="3"/>
      <x:c r="L65" s="3"/>
      <x:c r="M65" s="3"/>
      <x:c r="N65" s="3"/>
      <x:c r="O65" s="3"/>
      <x:c r="P65" s="3"/>
      <x:c r="Q65" s="3"/>
      <x:c r="R65" s="3"/>
      <x:c r="S65" s="3"/>
      <x:c r="T65" s="3"/>
    </x:row>
    <x:row r="66" ht="25" customHeight="1">
      <x:c r="A66" s="2"/>
      <x:c r="B66" s="2"/>
      <x:c r="C66" s="2"/>
      <x:c r="D66" s="3"/>
      <x:c r="E66" s="3"/>
      <x:c r="F66" s="3"/>
      <x:c r="G66" s="3"/>
      <x:c r="H66" s="3"/>
      <x:c r="I66" s="3"/>
      <x:c r="J66" s="3"/>
      <x:c r="K66" s="3"/>
      <x:c r="L66" s="3"/>
      <x:c r="M66" s="3"/>
      <x:c r="N66" s="3"/>
      <x:c r="O66" s="3"/>
      <x:c r="P66" s="3"/>
      <x:c r="Q66" s="3"/>
      <x:c r="R66" s="3"/>
      <x:c r="S66" s="3"/>
      <x:c r="T66" s="3"/>
    </x:row>
    <x:row r="67" ht="25" customHeight="1">
      <x:c r="A67" s="2"/>
      <x:c r="B67" s="2"/>
      <x:c r="C67" s="2"/>
      <x:c r="D67" s="3"/>
      <x:c r="E67" s="3"/>
      <x:c r="F67" s="3"/>
      <x:c r="G67" s="3"/>
      <x:c r="H67" s="3"/>
      <x:c r="I67" s="3"/>
      <x:c r="J67" s="3"/>
      <x:c r="K67" s="3"/>
      <x:c r="L67" s="3"/>
      <x:c r="M67" s="3"/>
      <x:c r="N67" s="3"/>
      <x:c r="O67" s="3"/>
      <x:c r="P67" s="3"/>
      <x:c r="Q67" s="3"/>
      <x:c r="R67" s="3"/>
      <x:c r="S67" s="3"/>
      <x:c r="T67" s="3"/>
    </x:row>
    <x:row r="68" ht="25" customHeight="1">
      <x:c r="A68" s="2"/>
      <x:c r="B68" s="2"/>
      <x:c r="C68" s="2"/>
      <x:c r="D68" s="3"/>
      <x:c r="E68" s="3"/>
      <x:c r="F68" s="3"/>
      <x:c r="G68" s="3"/>
      <x:c r="H68" s="3"/>
      <x:c r="I68" s="3"/>
      <x:c r="J68" s="3"/>
      <x:c r="K68" s="3"/>
      <x:c r="L68" s="3"/>
      <x:c r="M68" s="3"/>
      <x:c r="N68" s="3"/>
      <x:c r="O68" s="3"/>
      <x:c r="P68" s="3"/>
      <x:c r="Q68" s="3"/>
      <x:c r="R68" s="3"/>
      <x:c r="S68" s="3"/>
      <x:c r="T68" s="3"/>
    </x:row>
    <x:row r="69" ht="25" customHeight="1">
      <x:c r="A69" s="2"/>
      <x:c r="B69" s="2"/>
      <x:c r="C69" s="2"/>
      <x:c r="D69" s="3"/>
      <x:c r="E69" s="3"/>
      <x:c r="F69" s="3"/>
      <x:c r="G69" s="3"/>
      <x:c r="H69" s="3"/>
      <x:c r="I69" s="3"/>
      <x:c r="J69" s="3"/>
      <x:c r="K69" s="3"/>
      <x:c r="L69" s="3"/>
      <x:c r="M69" s="3"/>
      <x:c r="N69" s="3"/>
      <x:c r="O69" s="3"/>
      <x:c r="P69" s="3"/>
      <x:c r="Q69" s="3"/>
      <x:c r="R69" s="3"/>
      <x:c r="S69" s="3"/>
      <x:c r="T69" s="3"/>
    </x:row>
    <x:row r="70" ht="25" customHeight="1">
      <x:c r="A70" s="2"/>
      <x:c r="B70" s="2"/>
      <x:c r="C70" s="2"/>
      <x:c r="D70" s="3"/>
      <x:c r="E70" s="3"/>
      <x:c r="F70" s="3"/>
      <x:c r="G70" s="3"/>
      <x:c r="H70" s="3"/>
      <x:c r="I70" s="3"/>
      <x:c r="J70" s="3"/>
      <x:c r="K70" s="3"/>
      <x:c r="L70" s="3"/>
      <x:c r="M70" s="3"/>
      <x:c r="N70" s="3"/>
      <x:c r="O70" s="3"/>
      <x:c r="P70" s="3"/>
      <x:c r="Q70" s="3"/>
      <x:c r="R70" s="3"/>
      <x:c r="S70" s="3"/>
      <x:c r="T70" s="3"/>
    </x:row>
    <x:row r="71" ht="25" customHeight="1">
      <x:c r="A71" s="2"/>
      <x:c r="B71" s="2"/>
      <x:c r="C71" s="2"/>
      <x:c r="D71" s="3"/>
      <x:c r="E71" s="3"/>
      <x:c r="F71" s="3"/>
      <x:c r="G71" s="3"/>
      <x:c r="H71" s="3"/>
      <x:c r="I71" s="3"/>
      <x:c r="J71" s="3"/>
      <x:c r="K71" s="3"/>
      <x:c r="L71" s="3"/>
      <x:c r="M71" s="3"/>
      <x:c r="N71" s="3"/>
      <x:c r="O71" s="3"/>
      <x:c r="P71" s="3"/>
      <x:c r="Q71" s="3"/>
      <x:c r="R71" s="3"/>
      <x:c r="S71" s="3"/>
      <x:c r="T71" s="3"/>
    </x:row>
    <x:row r="72" ht="25" customHeight="1">
      <x:c r="A72" s="2"/>
      <x:c r="B72" s="2"/>
      <x:c r="C72" s="2"/>
      <x:c r="D72" s="3"/>
      <x:c r="E72" s="3"/>
      <x:c r="F72" s="3"/>
      <x:c r="G72" s="3"/>
      <x:c r="H72" s="3"/>
      <x:c r="I72" s="3"/>
      <x:c r="J72" s="3"/>
      <x:c r="K72" s="3"/>
      <x:c r="L72" s="3"/>
      <x:c r="M72" s="3"/>
      <x:c r="N72" s="3"/>
      <x:c r="O72" s="3"/>
      <x:c r="P72" s="3"/>
      <x:c r="Q72" s="3"/>
      <x:c r="R72" s="3"/>
      <x:c r="S72" s="3"/>
      <x:c r="T72" s="3"/>
    </x:row>
    <x:row r="73" ht="25" customHeight="1">
      <x:c r="A73" s="2"/>
      <x:c r="B73" s="2"/>
      <x:c r="C73" s="2"/>
      <x:c r="D73" s="3"/>
      <x:c r="E73" s="3"/>
      <x:c r="F73" s="3"/>
      <x:c r="G73" s="3"/>
      <x:c r="H73" s="3"/>
      <x:c r="I73" s="3"/>
      <x:c r="J73" s="3"/>
      <x:c r="K73" s="3"/>
      <x:c r="L73" s="3"/>
      <x:c r="M73" s="3"/>
      <x:c r="N73" s="3"/>
      <x:c r="O73" s="3"/>
      <x:c r="P73" s="3"/>
      <x:c r="Q73" s="3"/>
      <x:c r="R73" s="3"/>
      <x:c r="S73" s="3"/>
      <x:c r="T73" s="3"/>
    </x:row>
    <x:row r="74" ht="25" customHeight="1">
      <x:c r="A74" s="2"/>
      <x:c r="B74" s="2"/>
      <x:c r="C74" s="2"/>
      <x:c r="D74" s="3"/>
      <x:c r="E74" s="3"/>
      <x:c r="F74" s="3"/>
      <x:c r="G74" s="3"/>
      <x:c r="H74" s="3"/>
      <x:c r="I74" s="3"/>
      <x:c r="J74" s="3"/>
      <x:c r="K74" s="3"/>
      <x:c r="L74" s="3"/>
      <x:c r="M74" s="3"/>
      <x:c r="N74" s="3"/>
      <x:c r="O74" s="3"/>
      <x:c r="P74" s="3"/>
      <x:c r="Q74" s="3"/>
      <x:c r="R74" s="3"/>
      <x:c r="S74" s="3"/>
      <x:c r="T74" s="3"/>
    </x:row>
    <x:row r="75" ht="25" customHeight="1">
      <x:c r="A75" s="2"/>
      <x:c r="B75" s="2"/>
      <x:c r="C75" s="2"/>
      <x:c r="D75" s="3"/>
      <x:c r="E75" s="3"/>
      <x:c r="F75" s="3"/>
      <x:c r="G75" s="3"/>
      <x:c r="H75" s="3"/>
      <x:c r="I75" s="3"/>
      <x:c r="J75" s="3"/>
      <x:c r="K75" s="3"/>
      <x:c r="L75" s="3"/>
      <x:c r="M75" s="3"/>
      <x:c r="N75" s="3"/>
      <x:c r="O75" s="3"/>
      <x:c r="P75" s="3"/>
      <x:c r="Q75" s="3"/>
      <x:c r="R75" s="3"/>
      <x:c r="S75" s="3"/>
      <x:c r="T75" s="3"/>
    </x:row>
    <x:row r="76" ht="25" customHeight="1">
      <x:c r="A76" s="2"/>
      <x:c r="B76" s="2"/>
      <x:c r="C76" s="2"/>
      <x:c r="D76" s="3"/>
      <x:c r="E76" s="3"/>
      <x:c r="F76" s="3"/>
      <x:c r="G76" s="3"/>
      <x:c r="H76" s="3"/>
      <x:c r="I76" s="3"/>
      <x:c r="J76" s="3"/>
      <x:c r="K76" s="3"/>
      <x:c r="L76" s="3"/>
      <x:c r="M76" s="3"/>
      <x:c r="N76" s="3"/>
      <x:c r="O76" s="3"/>
      <x:c r="P76" s="3"/>
      <x:c r="Q76" s="3"/>
      <x:c r="R76" s="3"/>
      <x:c r="S76" s="3"/>
      <x:c r="T76" s="3"/>
    </x:row>
    <x:row r="77" ht="25" customHeight="1">
      <x:c r="A77" s="2"/>
      <x:c r="B77" s="2"/>
      <x:c r="C77" s="2"/>
      <x:c r="D77" s="3"/>
      <x:c r="E77" s="3"/>
      <x:c r="F77" s="3"/>
      <x:c r="G77" s="3"/>
      <x:c r="H77" s="3"/>
      <x:c r="I77" s="3"/>
      <x:c r="J77" s="3"/>
      <x:c r="K77" s="3"/>
      <x:c r="L77" s="3"/>
      <x:c r="M77" s="3"/>
      <x:c r="N77" s="3"/>
      <x:c r="O77" s="3"/>
      <x:c r="P77" s="3"/>
      <x:c r="Q77" s="3"/>
      <x:c r="R77" s="3"/>
      <x:c r="S77" s="3"/>
      <x:c r="T77" s="3"/>
    </x:row>
    <x:row r="78" ht="25" customHeight="1">
      <x:c r="A78" s="2"/>
      <x:c r="B78" s="2"/>
      <x:c r="C78" s="2"/>
      <x:c r="D78" s="3"/>
      <x:c r="E78" s="3"/>
      <x:c r="F78" s="3"/>
      <x:c r="G78" s="3"/>
      <x:c r="H78" s="3"/>
      <x:c r="I78" s="3"/>
      <x:c r="J78" s="3"/>
      <x:c r="K78" s="3"/>
      <x:c r="L78" s="3"/>
      <x:c r="M78" s="3"/>
      <x:c r="N78" s="3"/>
      <x:c r="O78" s="3"/>
      <x:c r="P78" s="3"/>
      <x:c r="Q78" s="3"/>
      <x:c r="R78" s="3"/>
      <x:c r="S78" s="3"/>
      <x:c r="T78" s="3"/>
    </x:row>
    <x:row r="79" ht="25" customHeight="1">
      <x:c r="A79" s="2"/>
      <x:c r="B79" s="2"/>
      <x:c r="C79" s="2"/>
      <x:c r="D79" s="3"/>
      <x:c r="E79" s="3"/>
      <x:c r="F79" s="3"/>
      <x:c r="G79" s="3"/>
      <x:c r="H79" s="3"/>
      <x:c r="I79" s="3"/>
      <x:c r="J79" s="3"/>
      <x:c r="K79" s="3"/>
      <x:c r="L79" s="3"/>
      <x:c r="M79" s="3"/>
      <x:c r="N79" s="3"/>
      <x:c r="O79" s="3"/>
      <x:c r="P79" s="3"/>
      <x:c r="Q79" s="3"/>
      <x:c r="R79" s="3"/>
      <x:c r="S79" s="3"/>
      <x:c r="T79" s="3"/>
    </x:row>
    <x:row r="80" ht="25" customHeight="1">
      <x:c r="A80" s="2"/>
      <x:c r="B80" s="2"/>
      <x:c r="C80" s="2"/>
      <x:c r="D80" s="3"/>
      <x:c r="E80" s="3"/>
      <x:c r="F80" s="3"/>
      <x:c r="G80" s="3"/>
      <x:c r="H80" s="3"/>
      <x:c r="I80" s="3"/>
      <x:c r="J80" s="3"/>
      <x:c r="K80" s="3"/>
      <x:c r="L80" s="3"/>
      <x:c r="M80" s="3"/>
      <x:c r="N80" s="3"/>
      <x:c r="O80" s="3"/>
      <x:c r="P80" s="3"/>
      <x:c r="Q80" s="3"/>
      <x:c r="R80" s="3"/>
      <x:c r="S80" s="3"/>
      <x:c r="T80" s="3"/>
    </x:row>
    <x:row r="81" ht="25" customHeight="1">
      <x:c r="A81" s="2"/>
      <x:c r="B81" s="2"/>
      <x:c r="C81" s="2"/>
      <x:c r="D81" s="3"/>
      <x:c r="E81" s="3"/>
      <x:c r="F81" s="3"/>
      <x:c r="G81" s="3"/>
      <x:c r="H81" s="3"/>
      <x:c r="I81" s="3"/>
      <x:c r="J81" s="3"/>
      <x:c r="K81" s="3"/>
      <x:c r="L81" s="3"/>
      <x:c r="M81" s="3"/>
      <x:c r="N81" s="3"/>
      <x:c r="O81" s="3"/>
      <x:c r="P81" s="3"/>
      <x:c r="Q81" s="3"/>
      <x:c r="R81" s="3"/>
      <x:c r="S81" s="3"/>
      <x:c r="T81" s="3"/>
    </x:row>
    <x:row r="82" ht="25" customHeight="1">
      <x:c r="A82" s="2"/>
      <x:c r="B82" s="2"/>
      <x:c r="C82" s="2"/>
      <x:c r="D82" s="3"/>
      <x:c r="E82" s="3"/>
      <x:c r="F82" s="3"/>
      <x:c r="G82" s="3"/>
      <x:c r="H82" s="3"/>
      <x:c r="I82" s="3"/>
      <x:c r="J82" s="3"/>
      <x:c r="K82" s="3"/>
      <x:c r="L82" s="3"/>
      <x:c r="M82" s="3"/>
      <x:c r="N82" s="3"/>
      <x:c r="O82" s="3"/>
      <x:c r="P82" s="3"/>
      <x:c r="Q82" s="3"/>
      <x:c r="R82" s="3"/>
      <x:c r="S82" s="3"/>
      <x:c r="T82" s="3"/>
    </x:row>
    <x:row r="83" ht="25" customHeight="1">
      <x:c r="A83" s="2"/>
      <x:c r="B83" s="2"/>
      <x:c r="C83" s="2"/>
      <x:c r="D83" s="3"/>
      <x:c r="E83" s="3"/>
      <x:c r="F83" s="3"/>
      <x:c r="G83" s="3"/>
      <x:c r="H83" s="3"/>
      <x:c r="I83" s="3"/>
      <x:c r="J83" s="3"/>
      <x:c r="K83" s="3"/>
      <x:c r="L83" s="3"/>
      <x:c r="M83" s="3"/>
      <x:c r="N83" s="3"/>
      <x:c r="O83" s="3"/>
      <x:c r="P83" s="3"/>
      <x:c r="Q83" s="3"/>
      <x:c r="R83" s="3"/>
      <x:c r="S83" s="3"/>
      <x:c r="T83" s="3"/>
    </x:row>
    <x:row r="84" ht="25" customHeight="1">
      <x:c r="A84" s="2"/>
      <x:c r="B84" s="2"/>
      <x:c r="C84" s="2"/>
      <x:c r="D84" s="3"/>
      <x:c r="E84" s="3"/>
      <x:c r="F84" s="3"/>
      <x:c r="G84" s="3"/>
      <x:c r="H84" s="3"/>
      <x:c r="I84" s="3"/>
      <x:c r="J84" s="3"/>
      <x:c r="K84" s="3"/>
      <x:c r="L84" s="3"/>
      <x:c r="M84" s="3"/>
      <x:c r="N84" s="3"/>
      <x:c r="O84" s="3"/>
      <x:c r="P84" s="3"/>
      <x:c r="Q84" s="3"/>
      <x:c r="R84" s="3"/>
      <x:c r="S84" s="3"/>
      <x:c r="T84" s="3"/>
    </x:row>
    <x:row r="85" ht="25" customHeight="1">
      <x:c r="A85" s="2"/>
      <x:c r="B85" s="2"/>
      <x:c r="C85" s="2"/>
      <x:c r="D85" s="3"/>
      <x:c r="E85" s="3"/>
      <x:c r="F85" s="3"/>
      <x:c r="G85" s="3"/>
      <x:c r="H85" s="3"/>
      <x:c r="I85" s="3"/>
      <x:c r="J85" s="3"/>
      <x:c r="K85" s="3"/>
      <x:c r="L85" s="3"/>
      <x:c r="M85" s="3"/>
      <x:c r="N85" s="3"/>
      <x:c r="O85" s="3"/>
      <x:c r="P85" s="3"/>
      <x:c r="Q85" s="3"/>
      <x:c r="R85" s="3"/>
      <x:c r="S85" s="3"/>
      <x:c r="T85" s="3"/>
    </x:row>
    <x:row r="86" ht="25" customHeight="1">
      <x:c r="A86" s="2"/>
      <x:c r="B86" s="2"/>
      <x:c r="C86" s="2"/>
      <x:c r="D86" s="3"/>
      <x:c r="E86" s="3"/>
      <x:c r="F86" s="3"/>
      <x:c r="G86" s="3"/>
      <x:c r="H86" s="3"/>
      <x:c r="I86" s="3"/>
      <x:c r="J86" s="3"/>
      <x:c r="K86" s="3"/>
      <x:c r="L86" s="3"/>
      <x:c r="M86" s="3"/>
      <x:c r="N86" s="3"/>
      <x:c r="O86" s="3"/>
      <x:c r="P86" s="3"/>
      <x:c r="Q86" s="3"/>
      <x:c r="R86" s="3"/>
      <x:c r="S86" s="3"/>
      <x:c r="T86" s="3"/>
    </x:row>
    <x:row r="87" ht="25" customHeight="1">
      <x:c r="A87" s="2"/>
      <x:c r="B87" s="2"/>
      <x:c r="C87" s="2"/>
      <x:c r="D87" s="3"/>
      <x:c r="E87" s="3"/>
      <x:c r="F87" s="3"/>
      <x:c r="G87" s="3"/>
      <x:c r="H87" s="3"/>
      <x:c r="I87" s="3"/>
      <x:c r="J87" s="3"/>
      <x:c r="K87" s="3"/>
      <x:c r="L87" s="3"/>
      <x:c r="M87" s="3"/>
      <x:c r="N87" s="3"/>
      <x:c r="O87" s="3"/>
      <x:c r="P87" s="3"/>
      <x:c r="Q87" s="3"/>
      <x:c r="R87" s="3"/>
      <x:c r="S87" s="3"/>
      <x:c r="T87" s="3"/>
    </x:row>
    <x:row r="88" ht="25" customHeight="1">
      <x:c r="A88" s="2"/>
      <x:c r="B88" s="2"/>
      <x:c r="C88" s="2"/>
      <x:c r="D88" s="3"/>
      <x:c r="E88" s="3"/>
      <x:c r="F88" s="3"/>
      <x:c r="G88" s="3"/>
      <x:c r="H88" s="3"/>
      <x:c r="I88" s="3"/>
      <x:c r="J88" s="3"/>
      <x:c r="K88" s="3"/>
      <x:c r="L88" s="3"/>
      <x:c r="M88" s="3"/>
      <x:c r="N88" s="3"/>
      <x:c r="O88" s="3"/>
      <x:c r="P88" s="3"/>
      <x:c r="Q88" s="3"/>
      <x:c r="R88" s="3"/>
      <x:c r="S88" s="3"/>
      <x:c r="T88" s="3"/>
    </x:row>
    <x:row r="89" ht="25" customHeight="1">
      <x:c r="A89" s="2"/>
      <x:c r="B89" s="2"/>
      <x:c r="C89" s="2"/>
      <x:c r="D89" s="3"/>
      <x:c r="E89" s="3"/>
      <x:c r="F89" s="3"/>
      <x:c r="G89" s="3"/>
      <x:c r="H89" s="3"/>
      <x:c r="I89" s="3"/>
      <x:c r="J89" s="3"/>
      <x:c r="K89" s="3"/>
      <x:c r="L89" s="3"/>
      <x:c r="M89" s="3"/>
      <x:c r="N89" s="3"/>
      <x:c r="O89" s="3"/>
      <x:c r="P89" s="3"/>
      <x:c r="Q89" s="3"/>
      <x:c r="R89" s="3"/>
      <x:c r="S89" s="3"/>
      <x:c r="T89" s="3"/>
    </x:row>
    <x:row r="90" ht="25" customHeight="1">
      <x:c r="A90" s="2"/>
      <x:c r="B90" s="2"/>
      <x:c r="C90" s="2"/>
      <x:c r="D90" s="3"/>
      <x:c r="E90" s="3"/>
      <x:c r="F90" s="3"/>
      <x:c r="G90" s="3"/>
      <x:c r="H90" s="3"/>
      <x:c r="I90" s="3"/>
      <x:c r="J90" s="3"/>
      <x:c r="K90" s="3"/>
      <x:c r="L90" s="3"/>
      <x:c r="M90" s="3"/>
      <x:c r="N90" s="3"/>
      <x:c r="O90" s="3"/>
      <x:c r="P90" s="3"/>
      <x:c r="Q90" s="3"/>
      <x:c r="R90" s="3"/>
      <x:c r="S90" s="3"/>
      <x:c r="T90" s="3"/>
    </x:row>
    <x:row r="91" ht="25" customHeight="1">
      <x:c r="A91" s="2"/>
      <x:c r="B91" s="2"/>
      <x:c r="C91" s="2"/>
      <x:c r="D91" s="3"/>
      <x:c r="E91" s="3"/>
      <x:c r="F91" s="3"/>
      <x:c r="G91" s="3"/>
      <x:c r="H91" s="3"/>
      <x:c r="I91" s="3"/>
      <x:c r="J91" s="3"/>
      <x:c r="K91" s="3"/>
      <x:c r="L91" s="3"/>
      <x:c r="M91" s="3"/>
      <x:c r="N91" s="3"/>
      <x:c r="O91" s="3"/>
      <x:c r="P91" s="3"/>
      <x:c r="Q91" s="3"/>
      <x:c r="R91" s="3"/>
      <x:c r="S91" s="3"/>
      <x:c r="T91" s="3"/>
    </x:row>
    <x:row r="92" ht="25" customHeight="1">
      <x:c r="A92" s="2"/>
      <x:c r="B92" s="2"/>
      <x:c r="C92" s="2"/>
      <x:c r="D92" s="3"/>
      <x:c r="E92" s="3"/>
      <x:c r="F92" s="3"/>
      <x:c r="G92" s="3"/>
      <x:c r="H92" s="3"/>
      <x:c r="I92" s="3"/>
      <x:c r="J92" s="3"/>
      <x:c r="K92" s="3"/>
      <x:c r="L92" s="3"/>
      <x:c r="M92" s="3"/>
      <x:c r="N92" s="3"/>
      <x:c r="O92" s="3"/>
      <x:c r="P92" s="3"/>
      <x:c r="Q92" s="3"/>
      <x:c r="R92" s="3"/>
      <x:c r="S92" s="3"/>
      <x:c r="T92" s="3"/>
    </x:row>
    <x:row r="93" ht="25" customHeight="1">
      <x:c r="A93" s="2"/>
      <x:c r="B93" s="2"/>
      <x:c r="C93" s="2"/>
      <x:c r="D93" s="3"/>
      <x:c r="E93" s="3"/>
      <x:c r="F93" s="3"/>
      <x:c r="G93" s="3"/>
      <x:c r="H93" s="3"/>
      <x:c r="I93" s="3"/>
      <x:c r="J93" s="3"/>
      <x:c r="K93" s="3"/>
      <x:c r="L93" s="3"/>
      <x:c r="M93" s="3"/>
      <x:c r="N93" s="3"/>
      <x:c r="O93" s="3"/>
      <x:c r="P93" s="3"/>
      <x:c r="Q93" s="3"/>
      <x:c r="R93" s="3"/>
      <x:c r="S93" s="3"/>
      <x:c r="T93" s="3"/>
    </x:row>
    <x:row r="94" ht="25" customHeight="1">
      <x:c r="A94" s="2"/>
      <x:c r="B94" s="2"/>
      <x:c r="C94" s="2"/>
      <x:c r="D94" s="3"/>
      <x:c r="E94" s="3"/>
      <x:c r="F94" s="3"/>
      <x:c r="G94" s="3"/>
      <x:c r="H94" s="3"/>
      <x:c r="I94" s="3"/>
      <x:c r="J94" s="3"/>
      <x:c r="K94" s="3"/>
      <x:c r="L94" s="3"/>
      <x:c r="M94" s="3"/>
      <x:c r="N94" s="3"/>
      <x:c r="O94" s="3"/>
      <x:c r="P94" s="3"/>
      <x:c r="Q94" s="3"/>
      <x:c r="R94" s="3"/>
      <x:c r="S94" s="3"/>
      <x:c r="T94" s="3"/>
    </x:row>
    <x:row r="95" ht="25" customHeight="1">
      <x:c r="A95" s="2"/>
      <x:c r="B95" s="2"/>
      <x:c r="C95" s="2"/>
      <x:c r="D95" s="3"/>
      <x:c r="E95" s="3"/>
      <x:c r="F95" s="3"/>
      <x:c r="G95" s="3"/>
      <x:c r="H95" s="3"/>
      <x:c r="I95" s="3"/>
      <x:c r="J95" s="3"/>
      <x:c r="K95" s="3"/>
      <x:c r="L95" s="3"/>
      <x:c r="M95" s="3"/>
      <x:c r="N95" s="3"/>
      <x:c r="O95" s="3"/>
      <x:c r="P95" s="3"/>
      <x:c r="Q95" s="3"/>
      <x:c r="R95" s="3"/>
      <x:c r="S95" s="3"/>
      <x:c r="T95" s="3"/>
    </x:row>
    <x:row r="96" ht="25" customHeight="1">
      <x:c r="A96" s="2"/>
      <x:c r="B96" s="2"/>
      <x:c r="C96" s="2"/>
      <x:c r="D96" s="3"/>
      <x:c r="E96" s="3"/>
      <x:c r="F96" s="3"/>
      <x:c r="G96" s="3"/>
      <x:c r="H96" s="3"/>
      <x:c r="I96" s="3"/>
      <x:c r="J96" s="3"/>
      <x:c r="K96" s="3"/>
      <x:c r="L96" s="3"/>
      <x:c r="M96" s="3"/>
      <x:c r="N96" s="3"/>
      <x:c r="O96" s="3"/>
      <x:c r="P96" s="3"/>
      <x:c r="Q96" s="3"/>
      <x:c r="R96" s="3"/>
      <x:c r="S96" s="3"/>
      <x:c r="T96" s="3"/>
    </x:row>
    <x:row r="97" ht="25" customHeight="1">
      <x:c r="A97" s="2"/>
      <x:c r="B97" s="2"/>
      <x:c r="C97" s="2"/>
      <x:c r="D97" s="3"/>
      <x:c r="E97" s="3"/>
      <x:c r="F97" s="3"/>
      <x:c r="G97" s="3"/>
      <x:c r="H97" s="3"/>
      <x:c r="I97" s="3"/>
      <x:c r="J97" s="3"/>
      <x:c r="K97" s="3"/>
      <x:c r="L97" s="3"/>
      <x:c r="M97" s="3"/>
      <x:c r="N97" s="3"/>
      <x:c r="O97" s="3"/>
      <x:c r="P97" s="3"/>
      <x:c r="Q97" s="3"/>
      <x:c r="R97" s="3"/>
      <x:c r="S97" s="3"/>
      <x:c r="T97" s="3"/>
    </x:row>
    <x:row r="98" ht="25" customHeight="1">
      <x:c r="A98" s="2"/>
      <x:c r="B98" s="2"/>
      <x:c r="C98" s="2"/>
      <x:c r="D98" s="3"/>
      <x:c r="E98" s="3"/>
      <x:c r="F98" s="3"/>
      <x:c r="G98" s="3"/>
      <x:c r="H98" s="3"/>
      <x:c r="I98" s="3"/>
      <x:c r="J98" s="3"/>
      <x:c r="K98" s="3"/>
      <x:c r="L98" s="3"/>
      <x:c r="M98" s="3"/>
      <x:c r="N98" s="3"/>
      <x:c r="O98" s="3"/>
      <x:c r="P98" s="3"/>
      <x:c r="Q98" s="3"/>
      <x:c r="R98" s="3"/>
      <x:c r="S98" s="3"/>
      <x:c r="T98" s="3"/>
    </x:row>
    <x:row r="99" ht="25" customHeight="1">
      <x:c r="A99" s="2"/>
      <x:c r="B99" s="2"/>
      <x:c r="C99" s="2"/>
      <x:c r="D99" s="3"/>
      <x:c r="E99" s="3"/>
      <x:c r="F99" s="3"/>
      <x:c r="G99" s="3"/>
      <x:c r="H99" s="3"/>
      <x:c r="I99" s="3"/>
      <x:c r="J99" s="3"/>
      <x:c r="K99" s="3"/>
      <x:c r="L99" s="3"/>
      <x:c r="M99" s="3"/>
      <x:c r="N99" s="3"/>
      <x:c r="O99" s="3"/>
      <x:c r="P99" s="3"/>
      <x:c r="Q99" s="3"/>
      <x:c r="R99" s="3"/>
      <x:c r="S99" s="3"/>
      <x:c r="T99" s="3"/>
    </x:row>
    <x:row r="100" ht="25" customHeight="1">
      <x:c r="A100" s="2"/>
      <x:c r="B100" s="2"/>
      <x:c r="C100" s="2"/>
      <x:c r="D100" s="3"/>
      <x:c r="E100" s="3"/>
      <x:c r="F100" s="3"/>
      <x:c r="G100" s="3"/>
      <x:c r="H100" s="3"/>
      <x:c r="I100" s="3"/>
      <x:c r="J100" s="3"/>
      <x:c r="K100" s="3"/>
      <x:c r="L100" s="3"/>
      <x:c r="M100" s="3"/>
      <x:c r="N100" s="3"/>
      <x:c r="O100" s="3"/>
      <x:c r="P100" s="3"/>
      <x:c r="Q100" s="3"/>
      <x:c r="R100" s="3"/>
      <x:c r="S100" s="3"/>
      <x:c r="T100" s="3"/>
    </x:row>
    <x:row r="101" ht="25" customHeight="1">
      <x:c r="A101" s="2"/>
      <x:c r="B101" s="2"/>
      <x:c r="C101" s="2"/>
      <x:c r="D101" s="3"/>
      <x:c r="E101" s="3"/>
      <x:c r="F101" s="3"/>
      <x:c r="G101" s="3"/>
      <x:c r="H101" s="3"/>
      <x:c r="I101" s="3"/>
      <x:c r="J101" s="3"/>
      <x:c r="K101" s="3"/>
      <x:c r="L101" s="3"/>
      <x:c r="M101" s="3"/>
      <x:c r="N101" s="3"/>
      <x:c r="O101" s="3"/>
      <x:c r="P101" s="3"/>
      <x:c r="Q101" s="3"/>
      <x:c r="R101" s="3"/>
      <x:c r="S101" s="3"/>
      <x:c r="T101" s="3"/>
    </x:row>
    <x:row r="102" ht="25" customHeight="1">
      <x:c r="A102" s="2"/>
      <x:c r="B102" s="2"/>
      <x:c r="C102" s="2"/>
      <x:c r="D102" s="3"/>
      <x:c r="E102" s="3"/>
      <x:c r="F102" s="3"/>
      <x:c r="G102" s="3"/>
      <x:c r="H102" s="3"/>
      <x:c r="I102" s="3"/>
      <x:c r="J102" s="3"/>
      <x:c r="K102" s="3"/>
      <x:c r="L102" s="3"/>
      <x:c r="M102" s="3"/>
      <x:c r="N102" s="3"/>
      <x:c r="O102" s="3"/>
      <x:c r="P102" s="3"/>
      <x:c r="Q102" s="3"/>
      <x:c r="R102" s="3"/>
      <x:c r="S102" s="3"/>
      <x:c r="T102" s="3"/>
    </x:row>
    <x:row r="103" ht="25" customHeight="1">
      <x:c r="A103" s="2"/>
      <x:c r="B103" s="2"/>
      <x:c r="C103" s="2"/>
      <x:c r="D103" s="3"/>
      <x:c r="E103" s="3"/>
      <x:c r="F103" s="3"/>
      <x:c r="G103" s="3"/>
      <x:c r="H103" s="3"/>
      <x:c r="I103" s="3"/>
      <x:c r="J103" s="3"/>
      <x:c r="K103" s="3"/>
      <x:c r="L103" s="3"/>
      <x:c r="M103" s="3"/>
      <x:c r="N103" s="3"/>
      <x:c r="O103" s="3"/>
      <x:c r="P103" s="3"/>
      <x:c r="Q103" s="3"/>
      <x:c r="R103" s="3"/>
      <x:c r="S103" s="3"/>
      <x:c r="T103" s="3"/>
    </x:row>
    <x:row r="104" ht="25" customHeight="1">
      <x:c r="A104" s="2"/>
      <x:c r="B104" s="2"/>
      <x:c r="C104" s="2"/>
      <x:c r="D104" s="3"/>
      <x:c r="E104" s="3"/>
      <x:c r="F104" s="3"/>
      <x:c r="G104" s="3"/>
      <x:c r="H104" s="3"/>
      <x:c r="I104" s="3"/>
      <x:c r="J104" s="3"/>
      <x:c r="K104" s="3"/>
      <x:c r="L104" s="3"/>
      <x:c r="M104" s="3"/>
      <x:c r="N104" s="3"/>
      <x:c r="O104" s="3"/>
      <x:c r="P104" s="3"/>
      <x:c r="Q104" s="3"/>
      <x:c r="R104" s="3"/>
      <x:c r="S104" s="3"/>
      <x:c r="T104" s="3"/>
    </x:row>
    <x:row r="105" ht="25" customHeight="1">
      <x:c r="A105" s="2"/>
      <x:c r="B105" s="2"/>
      <x:c r="C105" s="2"/>
      <x:c r="D105" s="3"/>
      <x:c r="E105" s="3"/>
      <x:c r="F105" s="3"/>
      <x:c r="G105" s="3"/>
      <x:c r="H105" s="3"/>
      <x:c r="I105" s="3"/>
      <x:c r="J105" s="3"/>
      <x:c r="K105" s="3"/>
      <x:c r="L105" s="3"/>
      <x:c r="M105" s="3"/>
      <x:c r="N105" s="3"/>
      <x:c r="O105" s="3"/>
      <x:c r="P105" s="3"/>
      <x:c r="Q105" s="3"/>
      <x:c r="R105" s="3"/>
      <x:c r="S105" s="3"/>
      <x:c r="T105" s="3"/>
    </x:row>
    <x:row r="106" ht="25" customHeight="1">
      <x:c r="A106" s="2"/>
      <x:c r="B106" s="2"/>
      <x:c r="C106" s="2"/>
      <x:c r="D106" s="3"/>
      <x:c r="E106" s="3"/>
      <x:c r="F106" s="3"/>
      <x:c r="G106" s="3"/>
      <x:c r="H106" s="3"/>
      <x:c r="I106" s="3"/>
      <x:c r="J106" s="3"/>
      <x:c r="K106" s="3"/>
      <x:c r="L106" s="3"/>
      <x:c r="M106" s="3"/>
      <x:c r="N106" s="3"/>
      <x:c r="O106" s="3"/>
      <x:c r="P106" s="3"/>
      <x:c r="Q106" s="3"/>
      <x:c r="R106" s="3"/>
      <x:c r="S106" s="3"/>
      <x:c r="T106" s="3"/>
    </x:row>
    <x:row r="107" ht="25" customHeight="1">
      <x:c r="A107" s="2"/>
      <x:c r="B107" s="2"/>
      <x:c r="C107" s="2"/>
      <x:c r="D107" s="3"/>
      <x:c r="E107" s="3"/>
      <x:c r="F107" s="3"/>
      <x:c r="G107" s="3"/>
      <x:c r="H107" s="3"/>
      <x:c r="I107" s="3"/>
      <x:c r="J107" s="3"/>
      <x:c r="K107" s="3"/>
      <x:c r="L107" s="3"/>
      <x:c r="M107" s="3"/>
      <x:c r="N107" s="3"/>
      <x:c r="O107" s="3"/>
      <x:c r="P107" s="3"/>
      <x:c r="Q107" s="3"/>
      <x:c r="R107" s="3"/>
      <x:c r="S107" s="3"/>
      <x:c r="T107" s="3"/>
    </x:row>
    <x:row r="108" ht="25" customHeight="1">
      <x:c r="A108" s="2"/>
      <x:c r="B108" s="2"/>
      <x:c r="C108" s="2"/>
      <x:c r="D108" s="3"/>
      <x:c r="E108" s="3"/>
      <x:c r="F108" s="3"/>
      <x:c r="G108" s="3"/>
      <x:c r="H108" s="3"/>
      <x:c r="I108" s="3"/>
      <x:c r="J108" s="3"/>
      <x:c r="K108" s="3"/>
      <x:c r="L108" s="3"/>
      <x:c r="M108" s="3"/>
      <x:c r="N108" s="3"/>
      <x:c r="O108" s="3"/>
      <x:c r="P108" s="3"/>
      <x:c r="Q108" s="3"/>
      <x:c r="R108" s="3"/>
      <x:c r="S108" s="3"/>
      <x:c r="T108" s="3"/>
    </x:row>
    <x:row r="109" ht="25" customHeight="1">
      <x:c r="A109" s="2"/>
      <x:c r="B109" s="2"/>
      <x:c r="C109" s="2"/>
      <x:c r="D109" s="3"/>
      <x:c r="E109" s="3"/>
      <x:c r="F109" s="3"/>
      <x:c r="G109" s="3"/>
      <x:c r="H109" s="3"/>
      <x:c r="I109" s="3"/>
      <x:c r="J109" s="3"/>
      <x:c r="K109" s="3"/>
      <x:c r="L109" s="3"/>
      <x:c r="M109" s="3"/>
      <x:c r="N109" s="3"/>
      <x:c r="O109" s="3"/>
      <x:c r="P109" s="3"/>
      <x:c r="Q109" s="3"/>
      <x:c r="R109" s="3"/>
      <x:c r="S109" s="3"/>
      <x:c r="T109" s="3"/>
    </x:row>
    <x:row r="110" ht="25" customHeight="1">
      <x:c r="A110" s="2"/>
      <x:c r="B110" s="2"/>
      <x:c r="C110" s="2"/>
      <x:c r="D110" s="3"/>
      <x:c r="E110" s="3"/>
      <x:c r="F110" s="3"/>
      <x:c r="G110" s="3"/>
      <x:c r="H110" s="3"/>
      <x:c r="I110" s="3"/>
      <x:c r="J110" s="3"/>
      <x:c r="K110" s="3"/>
      <x:c r="L110" s="3"/>
      <x:c r="M110" s="3"/>
      <x:c r="N110" s="3"/>
      <x:c r="O110" s="3"/>
      <x:c r="P110" s="3"/>
      <x:c r="Q110" s="3"/>
      <x:c r="R110" s="3"/>
      <x:c r="S110" s="3"/>
      <x:c r="T110" s="3"/>
    </x:row>
    <x:row r="111" ht="25" customHeight="1">
      <x:c r="A111" s="2"/>
      <x:c r="B111" s="2"/>
      <x:c r="C111" s="2"/>
      <x:c r="D111" s="3"/>
      <x:c r="E111" s="3"/>
      <x:c r="F111" s="3"/>
      <x:c r="G111" s="3"/>
      <x:c r="H111" s="3"/>
      <x:c r="I111" s="3"/>
      <x:c r="J111" s="3"/>
      <x:c r="K111" s="3"/>
      <x:c r="L111" s="3"/>
      <x:c r="M111" s="3"/>
      <x:c r="N111" s="3"/>
      <x:c r="O111" s="3"/>
      <x:c r="P111" s="3"/>
      <x:c r="Q111" s="3"/>
      <x:c r="R111" s="3"/>
      <x:c r="S111" s="3"/>
      <x:c r="T111" s="3"/>
    </x:row>
    <x:row r="112" ht="25" customHeight="1">
      <x:c r="A112" s="2"/>
      <x:c r="B112" s="2"/>
      <x:c r="C112" s="2"/>
      <x:c r="D112" s="3"/>
      <x:c r="E112" s="3"/>
      <x:c r="F112" s="3"/>
      <x:c r="G112" s="3"/>
      <x:c r="H112" s="3"/>
      <x:c r="I112" s="3"/>
      <x:c r="J112" s="3"/>
      <x:c r="K112" s="3"/>
      <x:c r="L112" s="3"/>
      <x:c r="M112" s="3"/>
      <x:c r="N112" s="3"/>
      <x:c r="O112" s="3"/>
      <x:c r="P112" s="3"/>
      <x:c r="Q112" s="3"/>
      <x:c r="R112" s="3"/>
      <x:c r="S112" s="3"/>
      <x:c r="T112" s="3"/>
    </x:row>
    <x:row r="113" ht="25" customHeight="1">
      <x:c r="A113" s="2"/>
      <x:c r="B113" s="2"/>
      <x:c r="C113" s="2"/>
      <x:c r="D113" s="3"/>
      <x:c r="E113" s="3"/>
      <x:c r="F113" s="3"/>
      <x:c r="G113" s="3"/>
      <x:c r="H113" s="3"/>
      <x:c r="I113" s="3"/>
      <x:c r="J113" s="3"/>
      <x:c r="K113" s="3"/>
      <x:c r="L113" s="3"/>
      <x:c r="M113" s="3"/>
      <x:c r="N113" s="3"/>
      <x:c r="O113" s="3"/>
      <x:c r="P113" s="3"/>
      <x:c r="Q113" s="3"/>
      <x:c r="R113" s="3"/>
      <x:c r="S113" s="3"/>
      <x:c r="T113" s="3"/>
    </x:row>
    <x:row r="114" ht="25" customHeight="1">
      <x:c r="A114" s="2"/>
      <x:c r="B114" s="2"/>
      <x:c r="C114" s="2"/>
      <x:c r="D114" s="3"/>
      <x:c r="E114" s="3"/>
      <x:c r="F114" s="3"/>
      <x:c r="G114" s="3"/>
      <x:c r="H114" s="3"/>
      <x:c r="I114" s="3"/>
      <x:c r="J114" s="3"/>
      <x:c r="K114" s="3"/>
      <x:c r="L114" s="3"/>
      <x:c r="M114" s="3"/>
      <x:c r="N114" s="3"/>
      <x:c r="O114" s="3"/>
      <x:c r="P114" s="3"/>
      <x:c r="Q114" s="3"/>
      <x:c r="R114" s="3"/>
      <x:c r="S114" s="3"/>
      <x:c r="T114" s="3"/>
    </x:row>
    <x:row r="115" ht="25" customHeight="1">
      <x:c r="A115" s="2"/>
      <x:c r="B115" s="2"/>
      <x:c r="C115" s="2"/>
      <x:c r="D115" s="3"/>
      <x:c r="E115" s="3"/>
      <x:c r="F115" s="3"/>
      <x:c r="G115" s="3"/>
      <x:c r="H115" s="3"/>
      <x:c r="I115" s="3"/>
      <x:c r="J115" s="3"/>
      <x:c r="K115" s="3"/>
      <x:c r="L115" s="3"/>
      <x:c r="M115" s="3"/>
      <x:c r="N115" s="3"/>
      <x:c r="O115" s="3"/>
      <x:c r="P115" s="3"/>
      <x:c r="Q115" s="3"/>
      <x:c r="R115" s="3"/>
      <x:c r="S115" s="3"/>
      <x:c r="T115" s="3"/>
    </x:row>
    <x:row r="116" ht="25" customHeight="1">
      <x:c r="A116" s="2"/>
      <x:c r="B116" s="2"/>
      <x:c r="C116" s="2"/>
      <x:c r="D116" s="3"/>
      <x:c r="E116" s="3"/>
      <x:c r="F116" s="3"/>
      <x:c r="G116" s="3"/>
      <x:c r="H116" s="3"/>
      <x:c r="I116" s="3"/>
      <x:c r="J116" s="3"/>
      <x:c r="K116" s="3"/>
      <x:c r="L116" s="3"/>
      <x:c r="M116" s="3"/>
      <x:c r="N116" s="3"/>
      <x:c r="O116" s="3"/>
      <x:c r="P116" s="3"/>
      <x:c r="Q116" s="3"/>
      <x:c r="R116" s="3"/>
      <x:c r="S116" s="3"/>
      <x:c r="T116" s="3"/>
    </x:row>
    <x:row r="117" ht="25" customHeight="1">
      <x:c r="A117" s="2"/>
      <x:c r="B117" s="2"/>
      <x:c r="C117" s="2"/>
      <x:c r="D117" s="3"/>
      <x:c r="E117" s="3"/>
      <x:c r="F117" s="3"/>
      <x:c r="G117" s="3"/>
      <x:c r="H117" s="3"/>
      <x:c r="I117" s="3"/>
      <x:c r="J117" s="3"/>
      <x:c r="K117" s="3"/>
      <x:c r="L117" s="3"/>
      <x:c r="M117" s="3"/>
      <x:c r="N117" s="3"/>
      <x:c r="O117" s="3"/>
      <x:c r="P117" s="3"/>
      <x:c r="Q117" s="3"/>
      <x:c r="R117" s="3"/>
      <x:c r="S117" s="3"/>
      <x:c r="T117" s="3"/>
    </x:row>
    <x:row r="118" ht="25" customHeight="1">
      <x:c r="A118" s="2"/>
      <x:c r="B118" s="2"/>
      <x:c r="C118" s="2"/>
      <x:c r="D118" s="3"/>
      <x:c r="E118" s="3"/>
      <x:c r="F118" s="3"/>
      <x:c r="G118" s="3"/>
      <x:c r="H118" s="3"/>
      <x:c r="I118" s="3"/>
      <x:c r="J118" s="3"/>
      <x:c r="K118" s="3"/>
      <x:c r="L118" s="3"/>
      <x:c r="M118" s="3"/>
      <x:c r="N118" s="3"/>
      <x:c r="O118" s="3"/>
      <x:c r="P118" s="3"/>
      <x:c r="Q118" s="3"/>
      <x:c r="R118" s="3"/>
      <x:c r="S118" s="3"/>
      <x:c r="T118" s="3"/>
    </x:row>
    <x:row r="119" ht="25" customHeight="1">
      <x:c r="A119" s="2"/>
      <x:c r="B119" s="2"/>
      <x:c r="C119" s="2"/>
      <x:c r="D119" s="3"/>
      <x:c r="E119" s="3"/>
      <x:c r="F119" s="3"/>
      <x:c r="G119" s="3"/>
      <x:c r="H119" s="3"/>
      <x:c r="I119" s="3"/>
      <x:c r="J119" s="3"/>
      <x:c r="K119" s="3"/>
      <x:c r="L119" s="3"/>
      <x:c r="M119" s="3"/>
      <x:c r="N119" s="3"/>
      <x:c r="O119" s="3"/>
      <x:c r="P119" s="3"/>
      <x:c r="Q119" s="3"/>
      <x:c r="R119" s="3"/>
      <x:c r="S119" s="3"/>
      <x:c r="T119" s="3"/>
    </x:row>
    <x:row r="120" ht="25" customHeight="1">
      <x:c r="A120" s="2"/>
      <x:c r="B120" s="2"/>
      <x:c r="C120" s="2"/>
      <x:c r="D120" s="3"/>
      <x:c r="E120" s="3"/>
      <x:c r="F120" s="3"/>
      <x:c r="G120" s="3"/>
      <x:c r="H120" s="3"/>
      <x:c r="I120" s="3"/>
      <x:c r="J120" s="3"/>
      <x:c r="K120" s="3"/>
      <x:c r="L120" s="3"/>
      <x:c r="M120" s="3"/>
      <x:c r="N120" s="3"/>
      <x:c r="O120" s="3"/>
      <x:c r="P120" s="3"/>
      <x:c r="Q120" s="3"/>
      <x:c r="R120" s="3"/>
      <x:c r="S120" s="3"/>
      <x:c r="T120" s="3"/>
    </x:row>
  </x:sheetData>
  <x:mergeCells>
    <x:mergeCell ref="C2:T2"/>
    <x:mergeCell ref="F21:J21"/>
    <x:mergeCell ref="K21:T21"/>
    <x:mergeCell ref="F22:J22"/>
    <x:mergeCell ref="K22:T22"/>
    <x:mergeCell ref="F23:J23"/>
    <x:mergeCell ref="K23:T23"/>
    <x:mergeCell ref="F24:J24"/>
    <x:mergeCell ref="K24:T24"/>
    <x:mergeCell ref="F25:J25"/>
    <x:mergeCell ref="K25:T25"/>
    <x:mergeCell ref="C28:T28"/>
  </x:mergeCells>
  <x:pageMargins left="0.7" right="0.7" top="0.75" bottom="0.75" header="0.3" footer="0.3"/>
</x:worksheet>
</file>

<file path=xl/worksheets/sheet3.xml><?xml version="1.0" encoding="utf-8"?>
<x:worksheet xmlns:x="http://schemas.openxmlformats.org/spreadsheetml/2006/main">
  <x:sheetPr>
    <x:tabColor rgb="FFD4ACBA"/>
  </x:sheetPr>
  <x:sheetViews>
    <x:sheetView showGridLines="0" workbookViewId="0">
      <x:pane xSplit="3" ySplit="5" topLeftCell="D6" activePane="bottomRight" state="frozen"/>
    </x:sheetView>
  </x:sheetViews>
  <x:sheetFormatPr defaultRowHeight="15"/>
  <x:cols>
    <x:col min="1" max="1" width="2" hidden="0" customWidth="1"/>
    <x:col min="2" max="2" width="2" hidden="0" customWidth="1"/>
    <x:col min="3" max="3" width="48" hidden="0" customWidth="1"/>
    <x:col min="4" max="4" width="18" hidden="0" customWidth="1"/>
    <x:col min="5" max="5" width="18" hidden="0" customWidth="1"/>
    <x:col min="6" max="6" width="18" hidden="0" customWidth="1"/>
    <x:col min="7" max="7" width="18" hidden="0" customWidth="1"/>
    <x:col min="8" max="8" width="18" hidden="0" customWidth="1"/>
    <x:col min="9" max="9" width="16" hidden="0" customWidth="1"/>
    <x:col min="10" max="10" width="16" hidden="0" customWidth="1"/>
    <x:col min="11" max="11" width="16" hidden="0" customWidth="1"/>
    <x:col min="12" max="12" width="16" hidden="0" customWidth="1"/>
  </x:cols>
  <x:sheetData>
    <x:row r="1" ht="25" customHeight="1">
      <x:c r="A1" s="2"/>
      <x:c r="B1" s="2"/>
      <x:c r="C1" s="2"/>
      <x:c r="D1" s="3"/>
      <x:c r="E1" s="3"/>
      <x:c r="F1" s="3"/>
      <x:c r="G1" s="3"/>
      <x:c r="H1" s="3"/>
      <x:c r="I1" s="3"/>
      <x:c r="J1" s="3"/>
      <x:c r="K1" s="3"/>
      <x:c r="L1" s="3"/>
    </x:row>
    <x:row r="2" ht="34" customHeight="1">
      <x:c r="A2" s="2"/>
      <x:c r="B2" s="2"/>
      <x:c r="C2" s="4" t="str">
        <x:v>Decisions and forecast assumptions</x:v>
      </x:c>
      <x:c r="D2" s="3"/>
      <x:c r="E2" s="3"/>
      <x:c r="F2" s="3"/>
      <x:c r="G2" s="3"/>
      <x:c r="H2" s="3"/>
      <x:c r="I2" s="3"/>
      <x:c r="J2" s="3"/>
      <x:c r="K2" s="3"/>
      <x:c r="L2" s="3"/>
    </x:row>
    <x:row r="3" ht="25" customHeight="1">
      <x:c r="A3" s="2"/>
      <x:c r="B3" s="2"/>
      <x:c r="C3" s="2" t="str">
        <x:v>Scenario</x:v>
      </x:c>
      <x:c r="D3" s="3"/>
      <x:c r="E3" s="11" t="str">
        <x:v>Base</x:v>
      </x:c>
      <x:c r="F3" s="3"/>
      <x:c r="G3" s="3"/>
      <x:c r="H3" s="3"/>
      <x:c r="I3" s="3"/>
      <x:c r="J3" s="3"/>
      <x:c r="K3" s="3"/>
      <x:c r="L3" s="3"/>
    </x:row>
    <x:row r="4" ht="25" customHeight="1">
      <x:c r="A4" s="2"/>
      <x:c r="B4" s="2"/>
      <x:c r="C4" s="2"/>
      <x:c r="D4" s="3"/>
      <x:c r="E4" s="3"/>
      <x:c r="F4" s="3"/>
      <x:c r="G4" s="3"/>
      <x:c r="H4" s="3"/>
      <x:c r="I4" s="3"/>
      <x:c r="J4" s="3"/>
      <x:c r="K4" s="3"/>
      <x:c r="L4" s="3"/>
    </x:row>
    <x:row r="5" ht="25" customHeight="1">
      <x:c r="A5" s="2"/>
      <x:c r="B5" s="2"/>
      <x:c r="C5" s="7"/>
      <x:c r="D5" s="9" t="str">
        <x:v>2026 Q4</x:v>
      </x:c>
      <x:c r="E5" s="9" t="n">
        <x:v>2027</x:v>
      </x:c>
      <x:c r="F5" s="9" t="n">
        <x:v>2028</x:v>
      </x:c>
      <x:c r="G5" s="9" t="n">
        <x:v>2029</x:v>
      </x:c>
      <x:c r="H5" s="9" t="n">
        <x:v>2030</x:v>
      </x:c>
      <x:c r="I5" s="3"/>
      <x:c r="J5" s="3"/>
      <x:c r="K5" s="3"/>
      <x:c r="L5" s="3"/>
    </x:row>
    <x:row r="6" ht="25" customHeight="1">
      <x:c r="A6" s="2"/>
      <x:c r="B6" s="2"/>
      <x:c r="C6" s="32"/>
      <x:c r="D6" s="3"/>
      <x:c r="E6" s="3"/>
      <x:c r="F6" s="3"/>
      <x:c r="G6" s="3"/>
      <x:c r="H6" s="3"/>
      <x:c r="I6" s="3"/>
      <x:c r="J6" s="3"/>
      <x:c r="K6" s="3"/>
      <x:c r="L6" s="3"/>
    </x:row>
    <x:row r="7" ht="27" customHeight="1">
      <x:c r="A7" s="2"/>
      <x:c r="B7" s="2"/>
      <x:c r="C7" s="61" t="str">
        <x:v>Commercial delivery and customer targets</x:v>
      </x:c>
      <x:c r="D7" s="15"/>
      <x:c r="E7" s="15"/>
      <x:c r="F7" s="15"/>
      <x:c r="G7" s="15"/>
      <x:c r="H7" s="15"/>
      <x:c r="I7" s="3"/>
      <x:c r="J7" s="3"/>
      <x:c r="K7" s="3"/>
      <x:c r="L7" s="3"/>
    </x:row>
    <x:row r="8" ht="25" customHeight="1">
      <x:c r="A8" s="2"/>
      <x:c r="B8" s="2"/>
      <x:c r="C8" s="32"/>
      <x:c r="D8" s="3"/>
      <x:c r="E8" s="3"/>
      <x:c r="F8" s="3"/>
      <x:c r="G8" s="3"/>
      <x:c r="H8" s="3"/>
      <x:c r="I8" s="3"/>
      <x:c r="J8" s="3"/>
      <x:c r="K8" s="3"/>
      <x:c r="L8" s="3"/>
    </x:row>
    <x:row r="9" ht="25" customHeight="1">
      <x:c r="A9" s="2"/>
      <x:c r="B9" s="2"/>
      <x:c r="C9" s="32" t="str">
        <x:v>Platform customer milestones, year end</x:v>
      </x:c>
      <x:c r="D9" s="16" t="n">
        <x:v>0</x:v>
      </x:c>
      <x:c r="E9" s="16" t="n">
        <x:v>25</x:v>
      </x:c>
      <x:c r="F9" s="16" t="n">
        <x:v>97</x:v>
      </x:c>
      <x:c r="G9" s="16" t="n">
        <x:v>432</x:v>
      </x:c>
      <x:c r="H9" s="16" t="n">
        <x:v>1292</x:v>
      </x:c>
      <x:c r="I9" s="3"/>
      <x:c r="J9" s="19" t="str">
        <x:v>Investor scale plan. The first five design partners are signed in Q4 2026 and activated after mapping in 2027.</x:v>
      </x:c>
      <x:c r="K9" s="19"/>
      <x:c r="L9" s="19"/>
    </x:row>
    <x:row r="10" ht="25" customHeight="1">
      <x:c r="A10" s="2"/>
      <x:c r="B10" s="2"/>
      <x:c r="C10" s="32"/>
      <x:c r="D10" s="3"/>
      <x:c r="E10" s="3"/>
      <x:c r="F10" s="3"/>
      <x:c r="G10" s="3"/>
      <x:c r="H10" s="3"/>
      <x:c r="I10" s="3"/>
      <x:c r="J10" s="19"/>
      <x:c r="K10" s="19"/>
      <x:c r="L10" s="19"/>
    </x:row>
    <x:row r="11" ht="25" customHeight="1">
      <x:c r="A11" s="2"/>
      <x:c r="B11" s="2"/>
      <x:c r="C11" s="62" t="str">
        <x:v>Platform customer plan, year end</x:v>
      </x:c>
      <x:c r="D11" s="21" t="n">
        <x:f>IF($E$3="Downside",D13,IF($E$3="Ambition",D14,D12))</x:f>
        <x:v>0</x:v>
      </x:c>
      <x:c r="E11" s="21" t="n">
        <x:f>IF($E$3="Downside",E13,IF($E$3="Ambition",E14,E12))</x:f>
        <x:v>25</x:v>
      </x:c>
      <x:c r="F11" s="21" t="n">
        <x:f>IF($E$3="Downside",F13,IF($E$3="Ambition",F14,F12))</x:f>
        <x:v>97</x:v>
      </x:c>
      <x:c r="G11" s="21" t="n">
        <x:f>IF($E$3="Downside",G13,IF($E$3="Ambition",G14,G12))</x:f>
        <x:v>432</x:v>
      </x:c>
      <x:c r="H11" s="21" t="n">
        <x:f>IF($E$3="Downside",H13,IF($E$3="Ambition",H14,H12))</x:f>
        <x:v>1292</x:v>
      </x:c>
      <x:c r="I11" s="3"/>
      <x:c r="J11" s="19" t="str">
        <x:v>Year-end platform customers. Mapping volume is higher because not every mapping converts.</x:v>
      </x:c>
      <x:c r="K11" s="19"/>
      <x:c r="L11" s="19"/>
    </x:row>
    <x:row r="12" ht="25" customHeight="1">
      <x:c r="A12" s="2"/>
      <x:c r="B12" s="2"/>
      <x:c r="C12" s="32" t="str">
        <x:v>Base</x:v>
      </x:c>
      <x:c r="D12" s="16" t="n">
        <x:v>0</x:v>
      </x:c>
      <x:c r="E12" s="16" t="n">
        <x:v>25</x:v>
      </x:c>
      <x:c r="F12" s="16" t="n">
        <x:v>97</x:v>
      </x:c>
      <x:c r="G12" s="16" t="n">
        <x:v>432</x:v>
      </x:c>
      <x:c r="H12" s="16" t="n">
        <x:v>1292</x:v>
      </x:c>
      <x:c r="I12" s="3"/>
      <x:c r="J12" s="19"/>
      <x:c r="K12" s="19"/>
      <x:c r="L12" s="19"/>
    </x:row>
    <x:row r="13" ht="25" customHeight="1">
      <x:c r="A13" s="2"/>
      <x:c r="B13" s="2"/>
      <x:c r="C13" s="32" t="str">
        <x:v>Downside</x:v>
      </x:c>
      <x:c r="D13" s="16" t="n">
        <x:v>0</x:v>
      </x:c>
      <x:c r="E13" s="16" t="n">
        <x:v>15</x:v>
      </x:c>
      <x:c r="F13" s="16" t="n">
        <x:v>55</x:v>
      </x:c>
      <x:c r="G13" s="16" t="n">
        <x:v>200</x:v>
      </x:c>
      <x:c r="H13" s="16" t="n">
        <x:v>650</x:v>
      </x:c>
      <x:c r="I13" s="3"/>
      <x:c r="J13" s="19"/>
      <x:c r="K13" s="19"/>
      <x:c r="L13" s="19"/>
    </x:row>
    <x:row r="14" ht="25" customHeight="1">
      <x:c r="A14" s="2"/>
      <x:c r="B14" s="2"/>
      <x:c r="C14" s="32" t="str">
        <x:v>Ambition</x:v>
      </x:c>
      <x:c r="D14" s="16" t="n">
        <x:v>0</x:v>
      </x:c>
      <x:c r="E14" s="16" t="n">
        <x:v>35</x:v>
      </x:c>
      <x:c r="F14" s="16" t="n">
        <x:v>150</x:v>
      </x:c>
      <x:c r="G14" s="16" t="n">
        <x:v>650</x:v>
      </x:c>
      <x:c r="H14" s="16" t="n">
        <x:v>1800</x:v>
      </x:c>
      <x:c r="I14" s="3"/>
      <x:c r="J14" s="19"/>
      <x:c r="K14" s="19"/>
      <x:c r="L14" s="19"/>
    </x:row>
    <x:row r="15" ht="25" customHeight="1">
      <x:c r="A15" s="2"/>
      <x:c r="B15" s="2"/>
      <x:c r="C15" s="32"/>
      <x:c r="D15" s="3"/>
      <x:c r="E15" s="3"/>
      <x:c r="F15" s="3"/>
      <x:c r="G15" s="3"/>
      <x:c r="H15" s="3"/>
      <x:c r="I15" s="3"/>
      <x:c r="J15" s="19"/>
      <x:c r="K15" s="19"/>
      <x:c r="L15" s="19"/>
    </x:row>
    <x:row r="16" ht="25" customHeight="1">
      <x:c r="A16" s="2"/>
      <x:c r="B16" s="2"/>
      <x:c r="C16" s="32" t="str">
        <x:v>New mapping plan completed by Q1</x:v>
      </x:c>
      <x:c r="D16" s="22" t="n">
        <x:v>0</x:v>
      </x:c>
      <x:c r="E16" s="22" t="n">
        <x:v>0.2</x:v>
      </x:c>
      <x:c r="F16" s="22" t="n">
        <x:v>0.2</x:v>
      </x:c>
      <x:c r="G16" s="22" t="n">
        <x:v>0.2</x:v>
      </x:c>
      <x:c r="H16" s="22" t="n">
        <x:v>0.25</x:v>
      </x:c>
      <x:c r="I16" s="3"/>
      <x:c r="J16" s="19" t="str">
        <x:v>Cumulative annual delivery pace.</x:v>
      </x:c>
      <x:c r="K16" s="19"/>
      <x:c r="L16" s="19"/>
    </x:row>
    <x:row r="17" ht="25" customHeight="1">
      <x:c r="A17" s="2"/>
      <x:c r="B17" s="2"/>
      <x:c r="C17" s="32"/>
      <x:c r="D17" s="23"/>
      <x:c r="E17" s="23"/>
      <x:c r="F17" s="23"/>
      <x:c r="G17" s="23"/>
      <x:c r="H17" s="23"/>
      <x:c r="I17" s="3"/>
      <x:c r="J17" s="19"/>
      <x:c r="K17" s="19"/>
      <x:c r="L17" s="19"/>
    </x:row>
    <x:row r="18" ht="25" customHeight="1">
      <x:c r="A18" s="2"/>
      <x:c r="B18" s="2"/>
      <x:c r="C18" s="32" t="str">
        <x:v>New mapping plan completed by Q2</x:v>
      </x:c>
      <x:c r="D18" s="22" t="n">
        <x:v>0</x:v>
      </x:c>
      <x:c r="E18" s="22" t="n">
        <x:v>0.45</x:v>
      </x:c>
      <x:c r="F18" s="22" t="n">
        <x:v>0.45</x:v>
      </x:c>
      <x:c r="G18" s="22" t="n">
        <x:v>0.45</x:v>
      </x:c>
      <x:c r="H18" s="22" t="n">
        <x:v>0.5</x:v>
      </x:c>
      <x:c r="I18" s="3"/>
      <x:c r="J18" s="19" t="str">
        <x:v>Cumulative annual delivery pace.</x:v>
      </x:c>
      <x:c r="K18" s="19"/>
      <x:c r="L18" s="19"/>
    </x:row>
    <x:row r="19" ht="25" customHeight="1">
      <x:c r="A19" s="2"/>
      <x:c r="B19" s="2"/>
      <x:c r="C19" s="32"/>
      <x:c r="D19" s="23"/>
      <x:c r="E19" s="23"/>
      <x:c r="F19" s="23"/>
      <x:c r="G19" s="23"/>
      <x:c r="H19" s="23"/>
      <x:c r="I19" s="3"/>
      <x:c r="J19" s="19"/>
      <x:c r="K19" s="19"/>
      <x:c r="L19" s="19"/>
    </x:row>
    <x:row r="20" ht="25" customHeight="1">
      <x:c r="A20" s="2"/>
      <x:c r="B20" s="2"/>
      <x:c r="C20" s="32" t="str">
        <x:v>New mapping plan completed by Q3</x:v>
      </x:c>
      <x:c r="D20" s="22" t="n">
        <x:v>0</x:v>
      </x:c>
      <x:c r="E20" s="22" t="n">
        <x:v>0.7</x:v>
      </x:c>
      <x:c r="F20" s="22" t="n">
        <x:v>0.7</x:v>
      </x:c>
      <x:c r="G20" s="22" t="n">
        <x:v>0.7</x:v>
      </x:c>
      <x:c r="H20" s="22" t="n">
        <x:v>0.75</x:v>
      </x:c>
      <x:c r="I20" s="3"/>
      <x:c r="J20" s="19" t="str">
        <x:v>Cumulative annual delivery pace. Q4 is 100%.</x:v>
      </x:c>
      <x:c r="K20" s="19"/>
      <x:c r="L20" s="19"/>
    </x:row>
    <x:row r="21" ht="25" customHeight="1">
      <x:c r="A21" s="2"/>
      <x:c r="B21" s="2"/>
      <x:c r="C21" s="32"/>
      <x:c r="D21" s="23"/>
      <x:c r="E21" s="23"/>
      <x:c r="F21" s="23"/>
      <x:c r="G21" s="23"/>
      <x:c r="H21" s="23"/>
      <x:c r="I21" s="3"/>
      <x:c r="J21" s="19"/>
      <x:c r="K21" s="19"/>
      <x:c r="L21" s="19"/>
    </x:row>
    <x:row r="22" ht="25" customHeight="1">
      <x:c r="A22" s="2"/>
      <x:c r="B22" s="2"/>
      <x:c r="C22" s="62" t="str">
        <x:v>Completed mappings converting to platform</x:v>
      </x:c>
      <x:c r="D22" s="24" t="n">
        <x:f>IF($E$3="Downside",D24,IF($E$3="Ambition",D25,D23))</x:f>
        <x:v>0.8</x:v>
      </x:c>
      <x:c r="E22" s="24" t="n">
        <x:f>IF($E$3="Downside",E24,IF($E$3="Ambition",E25,E23))</x:f>
        <x:v>0.8</x:v>
      </x:c>
      <x:c r="F22" s="24" t="n">
        <x:f>IF($E$3="Downside",F24,IF($E$3="Ambition",F25,F23))</x:f>
        <x:v>0.8</x:v>
      </x:c>
      <x:c r="G22" s="24" t="n">
        <x:f>IF($E$3="Downside",G24,IF($E$3="Ambition",G25,G23))</x:f>
        <x:v>0.8</x:v>
      </x:c>
      <x:c r="H22" s="24" t="n">
        <x:f>IF($E$3="Downside",H24,IF($E$3="Ambition",H25,H23))</x:f>
        <x:v>0.8</x:v>
      </x:c>
      <x:c r="I22" s="3"/>
      <x:c r="J22" s="19" t="str">
        <x:v>Conversion after accepted whole-company mapping. This is a critical proof point.</x:v>
      </x:c>
      <x:c r="K22" s="19"/>
      <x:c r="L22" s="19"/>
    </x:row>
    <x:row r="23" ht="25" customHeight="1">
      <x:c r="A23" s="2"/>
      <x:c r="B23" s="2"/>
      <x:c r="C23" s="32" t="str">
        <x:v>Base</x:v>
      </x:c>
      <x:c r="D23" s="22" t="n">
        <x:v>0.8</x:v>
      </x:c>
      <x:c r="E23" s="22" t="n">
        <x:v>0.8</x:v>
      </x:c>
      <x:c r="F23" s="22" t="n">
        <x:v>0.8</x:v>
      </x:c>
      <x:c r="G23" s="22" t="n">
        <x:v>0.8</x:v>
      </x:c>
      <x:c r="H23" s="22" t="n">
        <x:v>0.8</x:v>
      </x:c>
      <x:c r="I23" s="3"/>
      <x:c r="J23" s="19"/>
      <x:c r="K23" s="19"/>
      <x:c r="L23" s="19"/>
    </x:row>
    <x:row r="24" ht="25" customHeight="1">
      <x:c r="A24" s="2"/>
      <x:c r="B24" s="2"/>
      <x:c r="C24" s="32" t="str">
        <x:v>Downside</x:v>
      </x:c>
      <x:c r="D24" s="22" t="n">
        <x:v>0.6</x:v>
      </x:c>
      <x:c r="E24" s="22" t="n">
        <x:v>0.6</x:v>
      </x:c>
      <x:c r="F24" s="22" t="n">
        <x:v>0.6</x:v>
      </x:c>
      <x:c r="G24" s="22" t="n">
        <x:v>0.6</x:v>
      </x:c>
      <x:c r="H24" s="22" t="n">
        <x:v>0.6</x:v>
      </x:c>
      <x:c r="I24" s="3"/>
      <x:c r="J24" s="19"/>
      <x:c r="K24" s="19"/>
      <x:c r="L24" s="19"/>
    </x:row>
    <x:row r="25" ht="25" customHeight="1">
      <x:c r="A25" s="2"/>
      <x:c r="B25" s="2"/>
      <x:c r="C25" s="32" t="str">
        <x:v>Ambition</x:v>
      </x:c>
      <x:c r="D25" s="22" t="n">
        <x:v>0.9</x:v>
      </x:c>
      <x:c r="E25" s="22" t="n">
        <x:v>0.9</x:v>
      </x:c>
      <x:c r="F25" s="22" t="n">
        <x:v>0.9</x:v>
      </x:c>
      <x:c r="G25" s="22" t="n">
        <x:v>0.9</x:v>
      </x:c>
      <x:c r="H25" s="22" t="n">
        <x:v>0.9</x:v>
      </x:c>
      <x:c r="I25" s="3"/>
      <x:c r="J25" s="19"/>
      <x:c r="K25" s="19"/>
      <x:c r="L25" s="19"/>
    </x:row>
    <x:row r="26" ht="25" customHeight="1">
      <x:c r="A26" s="2"/>
      <x:c r="B26" s="2"/>
      <x:c r="C26" s="32"/>
      <x:c r="D26" s="23"/>
      <x:c r="E26" s="23"/>
      <x:c r="F26" s="23"/>
      <x:c r="G26" s="23"/>
      <x:c r="H26" s="23"/>
      <x:c r="I26" s="3"/>
      <x:c r="J26" s="19"/>
      <x:c r="K26" s="19"/>
      <x:c r="L26" s="19"/>
    </x:row>
    <x:row r="27" ht="25" customHeight="1">
      <x:c r="A27" s="2"/>
      <x:c r="B27" s="2"/>
      <x:c r="C27" s="62" t="str">
        <x:v>Annual customer churn</x:v>
      </x:c>
      <x:c r="D27" s="24" t="n">
        <x:f>IF($E$3="Downside",D29,IF($E$3="Ambition",D30,D28))</x:f>
        <x:v>0.12</x:v>
      </x:c>
      <x:c r="E27" s="24" t="n">
        <x:f>IF($E$3="Downside",E29,IF($E$3="Ambition",E30,E28))</x:f>
        <x:v>0.12</x:v>
      </x:c>
      <x:c r="F27" s="24" t="n">
        <x:f>IF($E$3="Downside",F29,IF($E$3="Ambition",F30,F28))</x:f>
        <x:v>0.1</x:v>
      </x:c>
      <x:c r="G27" s="24" t="n">
        <x:f>IF($E$3="Downside",G29,IF($E$3="Ambition",G30,G28))</x:f>
        <x:v>0.08</x:v>
      </x:c>
      <x:c r="H27" s="24" t="n">
        <x:f>IF($E$3="Downside",H29,IF($E$3="Ambition",H30,H28))</x:f>
        <x:v>0.08</x:v>
      </x:c>
      <x:c r="I27" s="3"/>
      <x:c r="J27" s="19" t="str">
        <x:v>Churn applies at each annual anniversary. Base improves only after product and customer evidence mature.</x:v>
      </x:c>
      <x:c r="K27" s="19"/>
      <x:c r="L27" s="19"/>
    </x:row>
    <x:row r="28" ht="25" customHeight="1">
      <x:c r="A28" s="2"/>
      <x:c r="B28" s="2"/>
      <x:c r="C28" s="32" t="str">
        <x:v>Base</x:v>
      </x:c>
      <x:c r="D28" s="22" t="n">
        <x:v>0.12</x:v>
      </x:c>
      <x:c r="E28" s="22" t="n">
        <x:v>0.12</x:v>
      </x:c>
      <x:c r="F28" s="22" t="n">
        <x:v>0.1</x:v>
      </x:c>
      <x:c r="G28" s="22" t="n">
        <x:v>0.08</x:v>
      </x:c>
      <x:c r="H28" s="22" t="n">
        <x:v>0.08</x:v>
      </x:c>
      <x:c r="I28" s="3"/>
      <x:c r="J28" s="19"/>
      <x:c r="K28" s="19"/>
      <x:c r="L28" s="19"/>
    </x:row>
    <x:row r="29" ht="25" customHeight="1">
      <x:c r="A29" s="2"/>
      <x:c r="B29" s="2"/>
      <x:c r="C29" s="32" t="str">
        <x:v>Downside</x:v>
      </x:c>
      <x:c r="D29" s="22" t="n">
        <x:v>0.18</x:v>
      </x:c>
      <x:c r="E29" s="22" t="n">
        <x:v>0.18</x:v>
      </x:c>
      <x:c r="F29" s="22" t="n">
        <x:v>0.18</x:v>
      </x:c>
      <x:c r="G29" s="22" t="n">
        <x:v>0.18</x:v>
      </x:c>
      <x:c r="H29" s="22" t="n">
        <x:v>0.18</x:v>
      </x:c>
      <x:c r="I29" s="3"/>
      <x:c r="J29" s="19"/>
      <x:c r="K29" s="19"/>
      <x:c r="L29" s="19"/>
    </x:row>
    <x:row r="30" ht="25" customHeight="1">
      <x:c r="A30" s="2"/>
      <x:c r="B30" s="2"/>
      <x:c r="C30" s="32" t="str">
        <x:v>Ambition</x:v>
      </x:c>
      <x:c r="D30" s="22" t="n">
        <x:v>0.08</x:v>
      </x:c>
      <x:c r="E30" s="22" t="n">
        <x:v>0.08</x:v>
      </x:c>
      <x:c r="F30" s="22" t="n">
        <x:v>0.07</x:v>
      </x:c>
      <x:c r="G30" s="22" t="n">
        <x:v>0.06</x:v>
      </x:c>
      <x:c r="H30" s="22" t="n">
        <x:v>0.06</x:v>
      </x:c>
      <x:c r="I30" s="3"/>
      <x:c r="J30" s="19"/>
      <x:c r="K30" s="19"/>
      <x:c r="L30" s="19"/>
    </x:row>
    <x:row r="31" ht="25" customHeight="1">
      <x:c r="A31" s="2"/>
      <x:c r="B31" s="2"/>
      <x:c r="C31" s="32"/>
      <x:c r="D31" s="23"/>
      <x:c r="E31" s="23"/>
      <x:c r="F31" s="23"/>
      <x:c r="G31" s="23"/>
      <x:c r="H31" s="23"/>
      <x:c r="I31" s="3"/>
      <x:c r="J31" s="19"/>
      <x:c r="K31" s="19"/>
      <x:c r="L31" s="19"/>
    </x:row>
    <x:row r="32" ht="25" customHeight="1">
      <x:c r="A32" s="2"/>
      <x:c r="B32" s="2"/>
      <x:c r="C32" s="62" t="str">
        <x:v>Qualified opportunities generated</x:v>
      </x:c>
      <x:c r="D32" s="21" t="n">
        <x:f>IF($E$3="Downside",D34,IF($E$3="Ambition",D35,D33))</x:f>
        <x:v>10</x:v>
      </x:c>
      <x:c r="E32" s="21" t="n">
        <x:f>IF($E$3="Downside",E34,IF($E$3="Ambition",E35,E33))</x:f>
        <x:v>240</x:v>
      </x:c>
      <x:c r="F32" s="21" t="n">
        <x:f>IF($E$3="Downside",F34,IF($E$3="Ambition",F35,F33))</x:f>
        <x:v>1000</x:v>
      </x:c>
      <x:c r="G32" s="21" t="n">
        <x:f>IF($E$3="Downside",G34,IF($E$3="Ambition",G35,G33))</x:f>
        <x:v>3200</x:v>
      </x:c>
      <x:c r="H32" s="21" t="n">
        <x:f>IF($E$3="Downside",H34,IF($E$3="Ambition",H35,H33))</x:f>
        <x:v>6500</x:v>
      </x:c>
      <x:c r="I32" s="3"/>
      <x:c r="J32" s="19" t="str">
        <x:v>Sales-accepted whole-company opportunities. Planning assumption, not traffic. Paid acquisition cost is budgeted below.</x:v>
      </x:c>
      <x:c r="K32" s="19"/>
      <x:c r="L32" s="19"/>
    </x:row>
    <x:row r="33" ht="25" customHeight="1">
      <x:c r="A33" s="2"/>
      <x:c r="B33" s="2"/>
      <x:c r="C33" s="32" t="str">
        <x:v>Base</x:v>
      </x:c>
      <x:c r="D33" s="16" t="n">
        <x:v>10</x:v>
      </x:c>
      <x:c r="E33" s="16" t="n">
        <x:v>240</x:v>
      </x:c>
      <x:c r="F33" s="16" t="n">
        <x:v>1000</x:v>
      </x:c>
      <x:c r="G33" s="16" t="n">
        <x:v>3200</x:v>
      </x:c>
      <x:c r="H33" s="16" t="n">
        <x:v>6500</x:v>
      </x:c>
      <x:c r="I33" s="3"/>
      <x:c r="J33" s="19"/>
      <x:c r="K33" s="19"/>
      <x:c r="L33" s="19"/>
    </x:row>
    <x:row r="34" ht="25" customHeight="1">
      <x:c r="A34" s="2"/>
      <x:c r="B34" s="2"/>
      <x:c r="C34" s="32" t="str">
        <x:v>Downside</x:v>
      </x:c>
      <x:c r="D34" s="16" t="n">
        <x:v>5</x:v>
      </x:c>
      <x:c r="E34" s="16" t="n">
        <x:v>140</x:v>
      </x:c>
      <x:c r="F34" s="16" t="n">
        <x:v>450</x:v>
      </x:c>
      <x:c r="G34" s="16" t="n">
        <x:v>1200</x:v>
      </x:c>
      <x:c r="H34" s="16" t="n">
        <x:v>2600</x:v>
      </x:c>
      <x:c r="I34" s="3"/>
      <x:c r="J34" s="19"/>
      <x:c r="K34" s="19"/>
      <x:c r="L34" s="19"/>
    </x:row>
    <x:row r="35" ht="25" customHeight="1">
      <x:c r="A35" s="2"/>
      <x:c r="B35" s="2"/>
      <x:c r="C35" s="32" t="str">
        <x:v>Ambition</x:v>
      </x:c>
      <x:c r="D35" s="16" t="n">
        <x:v>20</x:v>
      </x:c>
      <x:c r="E35" s="16" t="n">
        <x:v>550</x:v>
      </x:c>
      <x:c r="F35" s="16" t="n">
        <x:v>2200</x:v>
      </x:c>
      <x:c r="G35" s="16" t="n">
        <x:v>6500</x:v>
      </x:c>
      <x:c r="H35" s="16" t="n">
        <x:v>13000</x:v>
      </x:c>
      <x:c r="I35" s="3"/>
      <x:c r="J35" s="19"/>
      <x:c r="K35" s="19"/>
      <x:c r="L35" s="19"/>
    </x:row>
    <x:row r="36" ht="25" customHeight="1">
      <x:c r="A36" s="2"/>
      <x:c r="B36" s="2"/>
      <x:c r="C36" s="32"/>
      <x:c r="D36" s="3"/>
      <x:c r="E36" s="3"/>
      <x:c r="F36" s="3"/>
      <x:c r="G36" s="3"/>
      <x:c r="H36" s="3"/>
      <x:c r="I36" s="3"/>
      <x:c r="J36" s="19"/>
      <x:c r="K36" s="19"/>
      <x:c r="L36" s="19"/>
    </x:row>
    <x:row r="37" ht="25" customHeight="1">
      <x:c r="A37" s="2"/>
      <x:c r="B37" s="2"/>
      <x:c r="C37" s="62" t="str">
        <x:v>Win rate on mature opportunities</x:v>
      </x:c>
      <x:c r="D37" s="24" t="n">
        <x:f>IF($E$3="Downside",D39,IF($E$3="Ambition",D40,D38))</x:f>
        <x:v>0.2</x:v>
      </x:c>
      <x:c r="E37" s="24" t="n">
        <x:f>IF($E$3="Downside",E39,IF($E$3="Ambition",E40,E38))</x:f>
        <x:v>0.2</x:v>
      </x:c>
      <x:c r="F37" s="24" t="n">
        <x:f>IF($E$3="Downside",F39,IF($E$3="Ambition",F40,F38))</x:f>
        <x:v>0.24</x:v>
      </x:c>
      <x:c r="G37" s="24" t="n">
        <x:f>IF($E$3="Downside",G39,IF($E$3="Ambition",G40,G38))</x:f>
        <x:v>0.27</x:v>
      </x:c>
      <x:c r="H37" s="24" t="n">
        <x:f>IF($E$3="Downside",H39,IF($E$3="Ambition",H40,H38))</x:f>
        <x:v>0.27</x:v>
      </x:c>
      <x:c r="I37" s="3"/>
      <x:c r="J37" s="19" t="str">
        <x:v>Improvement is earned through whole-company references and repeatable procurement. No historical Uniio conversion data.</x:v>
      </x:c>
      <x:c r="K37" s="19"/>
      <x:c r="L37" s="19"/>
    </x:row>
    <x:row r="38" ht="25" customHeight="1">
      <x:c r="A38" s="2"/>
      <x:c r="B38" s="2"/>
      <x:c r="C38" s="32" t="str">
        <x:v>Base</x:v>
      </x:c>
      <x:c r="D38" s="22" t="n">
        <x:v>0.2</x:v>
      </x:c>
      <x:c r="E38" s="22" t="n">
        <x:v>0.2</x:v>
      </x:c>
      <x:c r="F38" s="22" t="n">
        <x:v>0.24</x:v>
      </x:c>
      <x:c r="G38" s="22" t="n">
        <x:v>0.27</x:v>
      </x:c>
      <x:c r="H38" s="22" t="n">
        <x:v>0.27</x:v>
      </x:c>
      <x:c r="I38" s="3"/>
      <x:c r="J38" s="19"/>
      <x:c r="K38" s="19"/>
      <x:c r="L38" s="19"/>
    </x:row>
    <x:row r="39" ht="25" customHeight="1">
      <x:c r="A39" s="2"/>
      <x:c r="B39" s="2"/>
      <x:c r="C39" s="32" t="str">
        <x:v>Downside</x:v>
      </x:c>
      <x:c r="D39" s="22" t="n">
        <x:v>0.15</x:v>
      </x:c>
      <x:c r="E39" s="22" t="n">
        <x:v>0.15</x:v>
      </x:c>
      <x:c r="F39" s="22" t="n">
        <x:v>0.17</x:v>
      </x:c>
      <x:c r="G39" s="22" t="n">
        <x:v>0.18</x:v>
      </x:c>
      <x:c r="H39" s="22" t="n">
        <x:v>0.18</x:v>
      </x:c>
      <x:c r="I39" s="3"/>
      <x:c r="J39" s="19"/>
      <x:c r="K39" s="19"/>
      <x:c r="L39" s="19"/>
    </x:row>
    <x:row r="40" ht="25" customHeight="1">
      <x:c r="A40" s="2"/>
      <x:c r="B40" s="2"/>
      <x:c r="C40" s="32" t="str">
        <x:v>Ambition</x:v>
      </x:c>
      <x:c r="D40" s="22" t="n">
        <x:v>0.25</x:v>
      </x:c>
      <x:c r="E40" s="22" t="n">
        <x:v>0.25</x:v>
      </x:c>
      <x:c r="F40" s="22" t="n">
        <x:v>0.3</x:v>
      </x:c>
      <x:c r="G40" s="22" t="n">
        <x:v>0.32</x:v>
      </x:c>
      <x:c r="H40" s="22" t="n">
        <x:v>0.32</x:v>
      </x:c>
      <x:c r="I40" s="3"/>
      <x:c r="J40" s="19"/>
      <x:c r="K40" s="19"/>
      <x:c r="L40" s="19"/>
    </x:row>
    <x:row r="41" ht="25" customHeight="1">
      <x:c r="A41" s="2"/>
      <x:c r="B41" s="2"/>
      <x:c r="C41" s="32"/>
      <x:c r="D41" s="23"/>
      <x:c r="E41" s="23"/>
      <x:c r="F41" s="23"/>
      <x:c r="G41" s="23"/>
      <x:c r="H41" s="23"/>
      <x:c r="I41" s="3"/>
      <x:c r="J41" s="19"/>
      <x:c r="K41" s="19"/>
      <x:c r="L41" s="19"/>
    </x:row>
    <x:row r="42" ht="25" customHeight="1">
      <x:c r="A42" s="2"/>
      <x:c r="B42" s="2"/>
      <x:c r="C42" s="62" t="str">
        <x:v>Sales cycle, quarters</x:v>
      </x:c>
      <x:c r="D42" s="21" t="n">
        <x:f>IF($E$3="Downside",D44,IF($E$3="Ambition",D45,D43))</x:f>
        <x:v>2</x:v>
      </x:c>
      <x:c r="E42" s="21" t="n">
        <x:f>IF($E$3="Downside",E44,IF($E$3="Ambition",E45,E43))</x:f>
        <x:v>2</x:v>
      </x:c>
      <x:c r="F42" s="21" t="n">
        <x:f>IF($E$3="Downside",F44,IF($E$3="Ambition",F45,F43))</x:f>
        <x:v>2</x:v>
      </x:c>
      <x:c r="G42" s="21" t="n">
        <x:f>IF($E$3="Downside",G44,IF($E$3="Ambition",G45,G43))</x:f>
        <x:v>2</x:v>
      </x:c>
      <x:c r="H42" s="21" t="n">
        <x:f>IF($E$3="Downside",H44,IF($E$3="Ambition",H45,H43))</x:f>
        <x:v>2</x:v>
      </x:c>
      <x:c r="I42" s="3"/>
      <x:c r="J42" s="19" t="str">
        <x:v>One global lag per case. Edit column D in the Base, Downside or Ambition row. Base: six months from qualified opportunity to decision. Activation delay is added.</x:v>
      </x:c>
      <x:c r="K42" s="19"/>
      <x:c r="L42" s="19"/>
    </x:row>
    <x:row r="43" ht="25" customHeight="1">
      <x:c r="A43" s="2"/>
      <x:c r="B43" s="2"/>
      <x:c r="C43" s="32" t="str">
        <x:v>Base</x:v>
      </x:c>
      <x:c r="D43" s="16" t="n">
        <x:v>2</x:v>
      </x:c>
      <x:c r="E43" s="3" t="n">
        <x:f>$D$43</x:f>
        <x:v>2</x:v>
      </x:c>
      <x:c r="F43" s="3" t="n">
        <x:f>$D$43</x:f>
        <x:v>2</x:v>
      </x:c>
      <x:c r="G43" s="3" t="n">
        <x:f>$D$43</x:f>
        <x:v>2</x:v>
      </x:c>
      <x:c r="H43" s="3" t="n">
        <x:f>$D$43</x:f>
        <x:v>2</x:v>
      </x:c>
      <x:c r="I43" s="3"/>
      <x:c r="J43" s="19"/>
      <x:c r="K43" s="19"/>
      <x:c r="L43" s="19"/>
    </x:row>
    <x:row r="44" ht="25" customHeight="1">
      <x:c r="A44" s="2"/>
      <x:c r="B44" s="2"/>
      <x:c r="C44" s="32" t="str">
        <x:v>Downside</x:v>
      </x:c>
      <x:c r="D44" s="16" t="n">
        <x:v>3</x:v>
      </x:c>
      <x:c r="E44" s="3" t="n">
        <x:f>$D$44</x:f>
        <x:v>3</x:v>
      </x:c>
      <x:c r="F44" s="3" t="n">
        <x:f>$D$44</x:f>
        <x:v>3</x:v>
      </x:c>
      <x:c r="G44" s="3" t="n">
        <x:f>$D$44</x:f>
        <x:v>3</x:v>
      </x:c>
      <x:c r="H44" s="3" t="n">
        <x:f>$D$44</x:f>
        <x:v>3</x:v>
      </x:c>
      <x:c r="I44" s="3"/>
      <x:c r="J44" s="19"/>
      <x:c r="K44" s="19"/>
      <x:c r="L44" s="19"/>
    </x:row>
    <x:row r="45" ht="25" customHeight="1">
      <x:c r="A45" s="2"/>
      <x:c r="B45" s="2"/>
      <x:c r="C45" s="32" t="str">
        <x:v>Ambition</x:v>
      </x:c>
      <x:c r="D45" s="16" t="n">
        <x:v>2</x:v>
      </x:c>
      <x:c r="E45" s="3" t="n">
        <x:f>$D$45</x:f>
        <x:v>2</x:v>
      </x:c>
      <x:c r="F45" s="3" t="n">
        <x:f>$D$45</x:f>
        <x:v>2</x:v>
      </x:c>
      <x:c r="G45" s="3" t="n">
        <x:f>$D$45</x:f>
        <x:v>2</x:v>
      </x:c>
      <x:c r="H45" s="3" t="n">
        <x:f>$D$45</x:f>
        <x:v>2</x:v>
      </x:c>
      <x:c r="I45" s="3"/>
      <x:c r="J45" s="19"/>
      <x:c r="K45" s="19"/>
      <x:c r="L45" s="19"/>
    </x:row>
    <x:row r="46" ht="25" customHeight="1">
      <x:c r="A46" s="2"/>
      <x:c r="B46" s="2"/>
      <x:c r="C46" s="32"/>
      <x:c r="D46" s="3"/>
      <x:c r="E46" s="3"/>
      <x:c r="F46" s="3"/>
      <x:c r="G46" s="3"/>
      <x:c r="H46" s="3"/>
      <x:c r="I46" s="3"/>
      <x:c r="J46" s="19"/>
      <x:c r="K46" s="19"/>
      <x:c r="L46" s="19"/>
    </x:row>
    <x:row r="47" ht="25" customHeight="1">
      <x:c r="A47" s="2"/>
      <x:c r="B47" s="2"/>
      <x:c r="C47" s="62" t="str">
        <x:v>Annual deal quota per mature AE</x:v>
      </x:c>
      <x:c r="D47" s="21" t="n">
        <x:f>IF($E$3="Downside",D49,IF($E$3="Ambition",D50,D48))</x:f>
        <x:v>0</x:v>
      </x:c>
      <x:c r="E47" s="21" t="n">
        <x:f>IF($E$3="Downside",E49,IF($E$3="Ambition",E50,E48))</x:f>
        <x:v>12</x:v>
      </x:c>
      <x:c r="F47" s="21" t="n">
        <x:f>IF($E$3="Downside",F49,IF($E$3="Ambition",F50,F48))</x:f>
        <x:v>14</x:v>
      </x:c>
      <x:c r="G47" s="21" t="n">
        <x:f>IF($E$3="Downside",G49,IF($E$3="Ambition",G50,G48))</x:f>
        <x:v>16</x:v>
      </x:c>
      <x:c r="H47" s="21" t="n">
        <x:f>IF($E$3="Downside",H49,IF($E$3="Ambition",H50,H48))</x:f>
        <x:v>18</x:v>
      </x:c>
      <x:c r="I47" s="3"/>
      <x:c r="J47" s="19" t="str">
        <x:v>Deal quota, before attainment. Cross-check with annual new ARR per productive seller. S6 is a broad benchmark, not a Uniio observation.</x:v>
      </x:c>
      <x:c r="K47" s="19"/>
      <x:c r="L47" s="19"/>
    </x:row>
    <x:row r="48" ht="25" customHeight="1">
      <x:c r="A48" s="2"/>
      <x:c r="B48" s="2"/>
      <x:c r="C48" s="32" t="str">
        <x:v>Base</x:v>
      </x:c>
      <x:c r="D48" s="16" t="n">
        <x:v>0</x:v>
      </x:c>
      <x:c r="E48" s="16" t="n">
        <x:v>12</x:v>
      </x:c>
      <x:c r="F48" s="16" t="n">
        <x:v>14</x:v>
      </x:c>
      <x:c r="G48" s="16" t="n">
        <x:v>16</x:v>
      </x:c>
      <x:c r="H48" s="16" t="n">
        <x:v>18</x:v>
      </x:c>
      <x:c r="I48" s="3"/>
      <x:c r="J48" s="19"/>
      <x:c r="K48" s="19"/>
      <x:c r="L48" s="19"/>
    </x:row>
    <x:row r="49" ht="25" customHeight="1">
      <x:c r="A49" s="2"/>
      <x:c r="B49" s="2"/>
      <x:c r="C49" s="32" t="str">
        <x:v>Downside</x:v>
      </x:c>
      <x:c r="D49" s="16" t="n">
        <x:v>0</x:v>
      </x:c>
      <x:c r="E49" s="16" t="n">
        <x:v>10</x:v>
      </x:c>
      <x:c r="F49" s="16" t="n">
        <x:v>12</x:v>
      </x:c>
      <x:c r="G49" s="16" t="n">
        <x:v>12</x:v>
      </x:c>
      <x:c r="H49" s="16" t="n">
        <x:v>14</x:v>
      </x:c>
      <x:c r="I49" s="3"/>
      <x:c r="J49" s="19"/>
      <x:c r="K49" s="19"/>
      <x:c r="L49" s="19"/>
    </x:row>
    <x:row r="50" ht="25" customHeight="1">
      <x:c r="A50" s="2"/>
      <x:c r="B50" s="2"/>
      <x:c r="C50" s="32" t="str">
        <x:v>Ambition</x:v>
      </x:c>
      <x:c r="D50" s="16" t="n">
        <x:v>0</x:v>
      </x:c>
      <x:c r="E50" s="16" t="n">
        <x:v>16</x:v>
      </x:c>
      <x:c r="F50" s="16" t="n">
        <x:v>18</x:v>
      </x:c>
      <x:c r="G50" s="16" t="n">
        <x:v>22</x:v>
      </x:c>
      <x:c r="H50" s="16" t="n">
        <x:v>24</x:v>
      </x:c>
      <x:c r="I50" s="3"/>
      <x:c r="J50" s="19"/>
      <x:c r="K50" s="19"/>
      <x:c r="L50" s="19"/>
    </x:row>
    <x:row r="51" ht="25" customHeight="1">
      <x:c r="A51" s="2"/>
      <x:c r="B51" s="2"/>
      <x:c r="C51" s="32"/>
      <x:c r="D51" s="3"/>
      <x:c r="E51" s="3"/>
      <x:c r="F51" s="3"/>
      <x:c r="G51" s="3"/>
      <x:c r="H51" s="3"/>
      <x:c r="I51" s="3"/>
      <x:c r="J51" s="19"/>
      <x:c r="K51" s="19"/>
      <x:c r="L51" s="19"/>
    </x:row>
    <x:row r="52" ht="25" customHeight="1">
      <x:c r="A52" s="2"/>
      <x:c r="B52" s="2"/>
      <x:c r="C52" s="62" t="str">
        <x:v>AE quota attainment factor</x:v>
      </x:c>
      <x:c r="D52" s="24" t="n">
        <x:f>IF($E$3="Downside",D54,IF($E$3="Ambition",D55,D53))</x:f>
        <x:v>0.65</x:v>
      </x:c>
      <x:c r="E52" s="24" t="n">
        <x:f>IF($E$3="Downside",E54,IF($E$3="Ambition",E55,E53))</x:f>
        <x:v>0.65</x:v>
      </x:c>
      <x:c r="F52" s="24" t="n">
        <x:f>IF($E$3="Downside",F54,IF($E$3="Ambition",F55,F53))</x:f>
        <x:v>0.65</x:v>
      </x:c>
      <x:c r="G52" s="24" t="n">
        <x:f>IF($E$3="Downside",G54,IF($E$3="Ambition",G55,G53))</x:f>
        <x:v>0.7</x:v>
      </x:c>
      <x:c r="H52" s="24" t="n">
        <x:f>IF($E$3="Downside",H54,IF($E$3="Ambition",H55,H53))</x:f>
        <x:v>0.7</x:v>
      </x:c>
      <x:c r="I52" s="3"/>
      <x:c r="J52" s="19" t="str">
        <x:v>Expected output as a fraction of quota. Six-month new-hire ramp is calculated separately.</x:v>
      </x:c>
      <x:c r="K52" s="19"/>
      <x:c r="L52" s="19"/>
    </x:row>
    <x:row r="53" ht="25" customHeight="1">
      <x:c r="A53" s="2"/>
      <x:c r="B53" s="2"/>
      <x:c r="C53" s="32" t="str">
        <x:v>Base</x:v>
      </x:c>
      <x:c r="D53" s="22" t="n">
        <x:v>0.65</x:v>
      </x:c>
      <x:c r="E53" s="22" t="n">
        <x:v>0.65</x:v>
      </x:c>
      <x:c r="F53" s="22" t="n">
        <x:v>0.65</x:v>
      </x:c>
      <x:c r="G53" s="22" t="n">
        <x:v>0.7</x:v>
      </x:c>
      <x:c r="H53" s="22" t="n">
        <x:v>0.7</x:v>
      </x:c>
      <x:c r="I53" s="3"/>
      <x:c r="J53" s="19"/>
      <x:c r="K53" s="19"/>
      <x:c r="L53" s="19"/>
    </x:row>
    <x:row r="54" ht="25" customHeight="1">
      <x:c r="A54" s="2"/>
      <x:c r="B54" s="2"/>
      <x:c r="C54" s="32" t="str">
        <x:v>Downside</x:v>
      </x:c>
      <x:c r="D54" s="22" t="n">
        <x:v>0.5</x:v>
      </x:c>
      <x:c r="E54" s="22" t="n">
        <x:v>0.5</x:v>
      </x:c>
      <x:c r="F54" s="22" t="n">
        <x:v>0.5</x:v>
      </x:c>
      <x:c r="G54" s="22" t="n">
        <x:v>0.55</x:v>
      </x:c>
      <x:c r="H54" s="22" t="n">
        <x:v>0.55</x:v>
      </x:c>
      <x:c r="I54" s="3"/>
      <x:c r="J54" s="19"/>
      <x:c r="K54" s="19"/>
      <x:c r="L54" s="19"/>
    </x:row>
    <x:row r="55" ht="25" customHeight="1">
      <x:c r="A55" s="2"/>
      <x:c r="B55" s="2"/>
      <x:c r="C55" s="32" t="str">
        <x:v>Ambition</x:v>
      </x:c>
      <x:c r="D55" s="22" t="n">
        <x:v>0.75</x:v>
      </x:c>
      <x:c r="E55" s="22" t="n">
        <x:v>0.75</x:v>
      </x:c>
      <x:c r="F55" s="22" t="n">
        <x:v>0.75</x:v>
      </x:c>
      <x:c r="G55" s="22" t="n">
        <x:v>0.8</x:v>
      </x:c>
      <x:c r="H55" s="22" t="n">
        <x:v>0.8</x:v>
      </x:c>
      <x:c r="I55" s="3"/>
      <x:c r="J55" s="19"/>
      <x:c r="K55" s="19"/>
      <x:c r="L55" s="19"/>
    </x:row>
    <x:row r="56" ht="25" customHeight="1">
      <x:c r="A56" s="2"/>
      <x:c r="B56" s="2"/>
      <x:c r="C56" s="32"/>
      <x:c r="D56" s="23"/>
      <x:c r="E56" s="23"/>
      <x:c r="F56" s="23"/>
      <x:c r="G56" s="23"/>
      <x:c r="H56" s="23"/>
      <x:c r="I56" s="3"/>
      <x:c r="J56" s="19"/>
      <x:c r="K56" s="19"/>
      <x:c r="L56" s="19"/>
    </x:row>
    <x:row r="57" ht="25" customHeight="1">
      <x:c r="A57" s="2"/>
      <x:c r="B57" s="2"/>
      <x:c r="C57" s="62" t="str">
        <x:v>Partner organisations at year end</x:v>
      </x:c>
      <x:c r="D57" s="21" t="n">
        <x:f>IF($E$3="Downside",D59,IF($E$3="Ambition",D60,D58))</x:f>
        <x:v>0</x:v>
      </x:c>
      <x:c r="E57" s="21" t="n">
        <x:f>IF($E$3="Downside",E59,IF($E$3="Ambition",E60,E58))</x:f>
        <x:v>2</x:v>
      </x:c>
      <x:c r="F57" s="21" t="n">
        <x:f>IF($E$3="Downside",F59,IF($E$3="Ambition",F60,F58))</x:f>
        <x:v>8</x:v>
      </x:c>
      <x:c r="G57" s="21" t="n">
        <x:f>IF($E$3="Downside",G59,IF($E$3="Ambition",G60,G58))</x:f>
        <x:v>25</x:v>
      </x:c>
      <x:c r="H57" s="21" t="n">
        <x:f>IF($E$3="Downside",H59,IF($E$3="Ambition",H60,H58))</x:f>
        <x:v>50</x:v>
      </x:c>
      <x:c r="I57" s="3"/>
      <x:c r="J57" s="19" t="str">
        <x:v>Distribution partners must be recruited and enabled. No signed partners assumed. Six-month ramp in Sales.</x:v>
      </x:c>
      <x:c r="K57" s="19"/>
      <x:c r="L57" s="19"/>
    </x:row>
    <x:row r="58" ht="25" customHeight="1">
      <x:c r="A58" s="2"/>
      <x:c r="B58" s="2"/>
      <x:c r="C58" s="32" t="str">
        <x:v>Base</x:v>
      </x:c>
      <x:c r="D58" s="16" t="n">
        <x:v>0</x:v>
      </x:c>
      <x:c r="E58" s="16" t="n">
        <x:v>2</x:v>
      </x:c>
      <x:c r="F58" s="16" t="n">
        <x:v>8</x:v>
      </x:c>
      <x:c r="G58" s="16" t="n">
        <x:v>25</x:v>
      </x:c>
      <x:c r="H58" s="16" t="n">
        <x:v>50</x:v>
      </x:c>
      <x:c r="I58" s="3"/>
      <x:c r="J58" s="19"/>
      <x:c r="K58" s="19"/>
      <x:c r="L58" s="19"/>
    </x:row>
    <x:row r="59" ht="25" customHeight="1">
      <x:c r="A59" s="2"/>
      <x:c r="B59" s="2"/>
      <x:c r="C59" s="32" t="str">
        <x:v>Downside</x:v>
      </x:c>
      <x:c r="D59" s="16" t="n">
        <x:v>0</x:v>
      </x:c>
      <x:c r="E59" s="16" t="n">
        <x:v>1</x:v>
      </x:c>
      <x:c r="F59" s="16" t="n">
        <x:v>4</x:v>
      </x:c>
      <x:c r="G59" s="16" t="n">
        <x:v>10</x:v>
      </x:c>
      <x:c r="H59" s="16" t="n">
        <x:v>20</x:v>
      </x:c>
      <x:c r="I59" s="3"/>
      <x:c r="J59" s="19"/>
      <x:c r="K59" s="19"/>
      <x:c r="L59" s="19"/>
    </x:row>
    <x:row r="60" ht="25" customHeight="1">
      <x:c r="A60" s="2"/>
      <x:c r="B60" s="2"/>
      <x:c r="C60" s="32" t="str">
        <x:v>Ambition</x:v>
      </x:c>
      <x:c r="D60" s="16" t="n">
        <x:v>0</x:v>
      </x:c>
      <x:c r="E60" s="16" t="n">
        <x:v>4</x:v>
      </x:c>
      <x:c r="F60" s="16" t="n">
        <x:v>15</x:v>
      </x:c>
      <x:c r="G60" s="16" t="n">
        <x:v>50</x:v>
      </x:c>
      <x:c r="H60" s="16" t="n">
        <x:v>100</x:v>
      </x:c>
      <x:c r="I60" s="3"/>
      <x:c r="J60" s="19"/>
      <x:c r="K60" s="19"/>
      <x:c r="L60" s="19"/>
    </x:row>
    <x:row r="61" ht="25" customHeight="1">
      <x:c r="A61" s="2"/>
      <x:c r="B61" s="2"/>
      <x:c r="C61" s="32"/>
      <x:c r="D61" s="3"/>
      <x:c r="E61" s="3"/>
      <x:c r="F61" s="3"/>
      <x:c r="G61" s="3"/>
      <x:c r="H61" s="3"/>
      <x:c r="I61" s="3"/>
      <x:c r="J61" s="19"/>
      <x:c r="K61" s="19"/>
      <x:c r="L61" s="19"/>
    </x:row>
    <x:row r="62" ht="25" customHeight="1">
      <x:c r="A62" s="2"/>
      <x:c r="B62" s="2"/>
      <x:c r="C62" s="62" t="str">
        <x:v>Deals per mature partner per year</x:v>
      </x:c>
      <x:c r="D62" s="21" t="n">
        <x:f>IF($E$3="Downside",D64,IF($E$3="Ambition",D65,D63))</x:f>
        <x:v>0</x:v>
      </x:c>
      <x:c r="E62" s="21" t="n">
        <x:f>IF($E$3="Downside",E64,IF($E$3="Ambition",E65,E63))</x:f>
        <x:v>4</x:v>
      </x:c>
      <x:c r="F62" s="21" t="n">
        <x:f>IF($E$3="Downside",F64,IF($E$3="Ambition",F65,F63))</x:f>
        <x:v>6</x:v>
      </x:c>
      <x:c r="G62" s="21" t="n">
        <x:f>IF($E$3="Downside",G64,IF($E$3="Ambition",G65,G63))</x:f>
        <x:v>8</x:v>
      </x:c>
      <x:c r="H62" s="21" t="n">
        <x:f>IF($E$3="Downside",H64,IF($E$3="Ambition",H65,H63))</x:f>
        <x:v>10</x:v>
      </x:c>
      <x:c r="I62" s="3"/>
      <x:c r="J62" s="19" t="str">
        <x:v>A distribution hypothesis. Partner wins receive recurring revenue share; implementation capacity is separately costed.</x:v>
      </x:c>
      <x:c r="K62" s="19"/>
      <x:c r="L62" s="19"/>
    </x:row>
    <x:row r="63" ht="25" customHeight="1">
      <x:c r="A63" s="2"/>
      <x:c r="B63" s="2"/>
      <x:c r="C63" s="32" t="str">
        <x:v>Base</x:v>
      </x:c>
      <x:c r="D63" s="16" t="n">
        <x:v>0</x:v>
      </x:c>
      <x:c r="E63" s="16" t="n">
        <x:v>4</x:v>
      </x:c>
      <x:c r="F63" s="16" t="n">
        <x:v>6</x:v>
      </x:c>
      <x:c r="G63" s="16" t="n">
        <x:v>8</x:v>
      </x:c>
      <x:c r="H63" s="16" t="n">
        <x:v>10</x:v>
      </x:c>
      <x:c r="I63" s="3"/>
      <x:c r="J63" s="19"/>
      <x:c r="K63" s="19"/>
      <x:c r="L63" s="19"/>
    </x:row>
    <x:row r="64" ht="25" customHeight="1">
      <x:c r="A64" s="2"/>
      <x:c r="B64" s="2"/>
      <x:c r="C64" s="32" t="str">
        <x:v>Downside</x:v>
      </x:c>
      <x:c r="D64" s="16" t="n">
        <x:v>0</x:v>
      </x:c>
      <x:c r="E64" s="16" t="n">
        <x:v>3</x:v>
      </x:c>
      <x:c r="F64" s="16" t="n">
        <x:v>4</x:v>
      </x:c>
      <x:c r="G64" s="16" t="n">
        <x:v>5</x:v>
      </x:c>
      <x:c r="H64" s="16" t="n">
        <x:v>6</x:v>
      </x:c>
      <x:c r="I64" s="3"/>
      <x:c r="J64" s="19"/>
      <x:c r="K64" s="19"/>
      <x:c r="L64" s="19"/>
    </x:row>
    <x:row r="65" ht="25" customHeight="1">
      <x:c r="A65" s="2"/>
      <x:c r="B65" s="2"/>
      <x:c r="C65" s="32" t="str">
        <x:v>Ambition</x:v>
      </x:c>
      <x:c r="D65" s="16" t="n">
        <x:v>0</x:v>
      </x:c>
      <x:c r="E65" s="16" t="n">
        <x:v>6</x:v>
      </x:c>
      <x:c r="F65" s="16" t="n">
        <x:v>8</x:v>
      </x:c>
      <x:c r="G65" s="16" t="n">
        <x:v>12</x:v>
      </x:c>
      <x:c r="H65" s="16" t="n">
        <x:v>14</x:v>
      </x:c>
      <x:c r="I65" s="3"/>
      <x:c r="J65" s="19"/>
      <x:c r="K65" s="19"/>
      <x:c r="L65" s="19"/>
    </x:row>
    <x:row r="66" ht="25" customHeight="1">
      <x:c r="A66" s="2"/>
      <x:c r="B66" s="2"/>
      <x:c r="C66" s="32"/>
      <x:c r="D66" s="3"/>
      <x:c r="E66" s="3"/>
      <x:c r="F66" s="3"/>
      <x:c r="G66" s="3"/>
      <x:c r="H66" s="3"/>
      <x:c r="I66" s="3"/>
      <x:c r="J66" s="19"/>
      <x:c r="K66" s="19"/>
      <x:c r="L66" s="19"/>
    </x:row>
    <x:row r="67" ht="25" customHeight="1">
      <x:c r="A67" s="2"/>
      <x:c r="B67" s="2"/>
      <x:c r="C67" s="62" t="str">
        <x:v>Founder-led contracts, Q4 / Q1</x:v>
      </x:c>
      <x:c r="D67" s="21" t="n">
        <x:f>IF($E$3="Downside",D69,IF($E$3="Ambition",D70,D68))</x:f>
        <x:v>5</x:v>
      </x:c>
      <x:c r="E67" s="21" t="n">
        <x:f>IF($E$3="Downside",E69,IF($E$3="Ambition",E70,E68))</x:f>
        <x:v>25</x:v>
      </x:c>
      <x:c r="F67" s="21" t="n">
        <x:f>IF($E$3="Downside",F69,IF($E$3="Ambition",F70,F68))</x:f>
        <x:v>5</x:v>
      </x:c>
      <x:c r="G67" s="21" t="n">
        <x:f>IF($E$3="Downside",G69,IF($E$3="Ambition",G70,G68))</x:f>
        <x:v>5</x:v>
      </x:c>
      <x:c r="H67" s="21" t="n">
        <x:f>IF($E$3="Downside",H69,IF($E$3="Ambition",H70,H68))</x:f>
        <x:v>5</x:v>
      </x:c>
      <x:c r="I67" s="3"/>
      <x:c r="J67" s="19" t="str">
        <x:v>Five design partners are a Q4 2026 signing target. Delivery and revenue begin after the activation lag. No signed traction is assumed.</x:v>
      </x:c>
      <x:c r="K67" s="19"/>
      <x:c r="L67" s="19"/>
    </x:row>
    <x:row r="68" ht="25" customHeight="1">
      <x:c r="A68" s="2"/>
      <x:c r="B68" s="2"/>
      <x:c r="C68" s="32" t="str">
        <x:v>Base</x:v>
      </x:c>
      <x:c r="D68" s="16" t="n">
        <x:v>5</x:v>
      </x:c>
      <x:c r="E68" s="16" t="n">
        <x:v>25</x:v>
      </x:c>
      <x:c r="F68" s="16" t="n">
        <x:v>5</x:v>
      </x:c>
      <x:c r="G68" s="16" t="n">
        <x:v>5</x:v>
      </x:c>
      <x:c r="H68" s="16" t="n">
        <x:v>5</x:v>
      </x:c>
      <x:c r="I68" s="3"/>
      <x:c r="J68" s="19"/>
      <x:c r="K68" s="19"/>
      <x:c r="L68" s="19"/>
    </x:row>
    <x:row r="69" ht="25" customHeight="1">
      <x:c r="A69" s="2"/>
      <x:c r="B69" s="2"/>
      <x:c r="C69" s="32" t="str">
        <x:v>Downside</x:v>
      </x:c>
      <x:c r="D69" s="16" t="n">
        <x:v>3</x:v>
      </x:c>
      <x:c r="E69" s="16" t="n">
        <x:v>10</x:v>
      </x:c>
      <x:c r="F69" s="16" t="n">
        <x:v>5</x:v>
      </x:c>
      <x:c r="G69" s="16" t="n">
        <x:v>5</x:v>
      </x:c>
      <x:c r="H69" s="16" t="n">
        <x:v>5</x:v>
      </x:c>
      <x:c r="I69" s="3"/>
      <x:c r="J69" s="19"/>
      <x:c r="K69" s="19"/>
      <x:c r="L69" s="19"/>
    </x:row>
    <x:row r="70" ht="25" customHeight="1">
      <x:c r="A70" s="2"/>
      <x:c r="B70" s="2"/>
      <x:c r="C70" s="32" t="str">
        <x:v>Ambition</x:v>
      </x:c>
      <x:c r="D70" s="16" t="n">
        <x:v>7</x:v>
      </x:c>
      <x:c r="E70" s="16" t="n">
        <x:v>30</x:v>
      </x:c>
      <x:c r="F70" s="16" t="n">
        <x:v>5</x:v>
      </x:c>
      <x:c r="G70" s="16" t="n">
        <x:v>5</x:v>
      </x:c>
      <x:c r="H70" s="16" t="n">
        <x:v>5</x:v>
      </x:c>
      <x:c r="I70" s="3"/>
      <x:c r="J70" s="19"/>
      <x:c r="K70" s="19"/>
      <x:c r="L70" s="19"/>
    </x:row>
    <x:row r="71" ht="25" customHeight="1">
      <x:c r="A71" s="2"/>
      <x:c r="B71" s="2"/>
      <x:c r="C71" s="32"/>
      <x:c r="D71" s="3"/>
      <x:c r="E71" s="3"/>
      <x:c r="F71" s="3"/>
      <x:c r="G71" s="3"/>
      <x:c r="H71" s="3"/>
      <x:c r="I71" s="3"/>
      <x:c r="J71" s="19"/>
      <x:c r="K71" s="19"/>
      <x:c r="L71" s="19"/>
    </x:row>
    <x:row r="72" ht="25" customHeight="1">
      <x:c r="A72" s="2"/>
      <x:c r="B72" s="2"/>
      <x:c r="C72" s="32" t="str">
        <x:v>Delay from signature to activation, quarters</x:v>
      </x:c>
      <x:c r="D72" s="16" t="n">
        <x:v>1</x:v>
      </x:c>
      <x:c r="E72" s="3" t="n">
        <x:f>$D$72</x:f>
        <x:v>1</x:v>
      </x:c>
      <x:c r="F72" s="3" t="n">
        <x:f>$D$72</x:f>
        <x:v>1</x:v>
      </x:c>
      <x:c r="G72" s="3" t="n">
        <x:f>$D$72</x:f>
        <x:v>1</x:v>
      </x:c>
      <x:c r="H72" s="3" t="n">
        <x:f>$D$72</x:f>
        <x:v>1</x:v>
      </x:c>
      <x:c r="I72" s="3"/>
      <x:c r="J72" s="19" t="str">
        <x:v>One global lag. Edit column D. Revenue, billing and mapping begin on activation, after access, security, rollout and review.</x:v>
      </x:c>
      <x:c r="K72" s="19"/>
      <x:c r="L72" s="19"/>
    </x:row>
    <x:row r="73" ht="25" customHeight="1">
      <x:c r="A73" s="2"/>
      <x:c r="B73" s="2"/>
      <x:c r="C73" s="32"/>
      <x:c r="D73" s="3"/>
      <x:c r="E73" s="3"/>
      <x:c r="F73" s="3"/>
      <x:c r="G73" s="3"/>
      <x:c r="H73" s="3"/>
      <x:c r="I73" s="3"/>
      <x:c r="J73" s="19"/>
      <x:c r="K73" s="19"/>
      <x:c r="L73" s="19"/>
    </x:row>
    <x:row r="74" ht="25" customHeight="1">
      <x:c r="A74" s="2"/>
      <x:c r="B74" s="2"/>
      <x:c r="C74" s="62" t="str">
        <x:v>Maximum external implementations per quarter</x:v>
      </x:c>
      <x:c r="D74" s="21" t="n">
        <x:f>IF($E$3="Downside",D76,IF($E$3="Ambition",D77,D75))</x:f>
        <x:v>0</x:v>
      </x:c>
      <x:c r="E74" s="21" t="n">
        <x:f>IF($E$3="Downside",E76,IF($E$3="Ambition",E77,E75))</x:f>
        <x:v>5</x:v>
      </x:c>
      <x:c r="F74" s="21" t="n">
        <x:f>IF($E$3="Downside",F76,IF($E$3="Ambition",F77,F75))</x:f>
        <x:v>12</x:v>
      </x:c>
      <x:c r="G74" s="21" t="n">
        <x:f>IF($E$3="Downside",G76,IF($E$3="Ambition",G77,G75))</x:f>
        <x:v>40</x:v>
      </x:c>
      <x:c r="H74" s="21" t="n">
        <x:f>IF($E$3="Downside",H76,IF($E$3="Ambition",H77,H75))</x:f>
        <x:v>80</x:v>
      </x:c>
      <x:c r="I74" s="3"/>
      <x:c r="J74" s="19" t="str">
        <x:v>Supplier capacity assumption. Unserved signed demand stays in backlog.</x:v>
      </x:c>
      <x:c r="K74" s="19"/>
      <x:c r="L74" s="19"/>
    </x:row>
    <x:row r="75" ht="25" customHeight="1">
      <x:c r="A75" s="2"/>
      <x:c r="B75" s="2"/>
      <x:c r="C75" s="32" t="str">
        <x:v>Base</x:v>
      </x:c>
      <x:c r="D75" s="16" t="n">
        <x:v>0</x:v>
      </x:c>
      <x:c r="E75" s="16" t="n">
        <x:v>5</x:v>
      </x:c>
      <x:c r="F75" s="16" t="n">
        <x:v>12</x:v>
      </x:c>
      <x:c r="G75" s="16" t="n">
        <x:v>40</x:v>
      </x:c>
      <x:c r="H75" s="16" t="n">
        <x:v>80</x:v>
      </x:c>
      <x:c r="I75" s="3"/>
      <x:c r="J75" s="19"/>
      <x:c r="K75" s="19"/>
      <x:c r="L75" s="19"/>
    </x:row>
    <x:row r="76" ht="25" customHeight="1">
      <x:c r="A76" s="2"/>
      <x:c r="B76" s="2"/>
      <x:c r="C76" s="32" t="str">
        <x:v>Downside</x:v>
      </x:c>
      <x:c r="D76" s="16" t="n">
        <x:v>0</x:v>
      </x:c>
      <x:c r="E76" s="16" t="n">
        <x:v>2</x:v>
      </x:c>
      <x:c r="F76" s="16" t="n">
        <x:v>5</x:v>
      </x:c>
      <x:c r="G76" s="16" t="n">
        <x:v>15</x:v>
      </x:c>
      <x:c r="H76" s="16" t="n">
        <x:v>30</x:v>
      </x:c>
      <x:c r="I76" s="3"/>
      <x:c r="J76" s="19"/>
      <x:c r="K76" s="19"/>
      <x:c r="L76" s="19"/>
    </x:row>
    <x:row r="77" ht="25" customHeight="1">
      <x:c r="A77" s="2"/>
      <x:c r="B77" s="2"/>
      <x:c r="C77" s="32" t="str">
        <x:v>Ambition</x:v>
      </x:c>
      <x:c r="D77" s="16" t="n">
        <x:v>0</x:v>
      </x:c>
      <x:c r="E77" s="16" t="n">
        <x:v>8</x:v>
      </x:c>
      <x:c r="F77" s="16" t="n">
        <x:v>20</x:v>
      </x:c>
      <x:c r="G77" s="16" t="n">
        <x:v>60</x:v>
      </x:c>
      <x:c r="H77" s="16" t="n">
        <x:v>120</x:v>
      </x:c>
      <x:c r="I77" s="3"/>
      <x:c r="J77" s="19"/>
      <x:c r="K77" s="19"/>
      <x:c r="L77" s="19"/>
    </x:row>
    <x:row r="78" ht="25" customHeight="1">
      <x:c r="A78" s="2"/>
      <x:c r="B78" s="2"/>
      <x:c r="C78" s="32"/>
      <x:c r="D78" s="3"/>
      <x:c r="E78" s="3"/>
      <x:c r="F78" s="3"/>
      <x:c r="G78" s="3"/>
      <x:c r="H78" s="3"/>
      <x:c r="I78" s="3"/>
      <x:c r="J78" s="19"/>
      <x:c r="K78" s="19"/>
      <x:c r="L78" s="19"/>
    </x:row>
    <x:row r="79" ht="25" customHeight="1">
      <x:c r="A79" s="2"/>
      <x:c r="B79" s="2"/>
      <x:c r="C79" s="32" t="str">
        <x:v>Support hours per active customer / quarter</x:v>
      </x:c>
      <x:c r="D79" s="16" t="n">
        <x:v>0</x:v>
      </x:c>
      <x:c r="E79" s="16" t="n">
        <x:v>5</x:v>
      </x:c>
      <x:c r="F79" s="16" t="n">
        <x:v>4</x:v>
      </x:c>
      <x:c r="G79" s="16" t="n">
        <x:v>3</x:v>
      </x:c>
      <x:c r="H79" s="16" t="n">
        <x:v>2</x:v>
      </x:c>
      <x:c r="I79" s="3"/>
      <x:c r="J79" s="19" t="str">
        <x:v>Internal customer success reserve before new deployments. External support overflow is costed.</x:v>
      </x:c>
      <x:c r="K79" s="19"/>
      <x:c r="L79" s="19"/>
    </x:row>
    <x:row r="80" ht="25" customHeight="1">
      <x:c r="A80" s="2"/>
      <x:c r="B80" s="2"/>
      <x:c r="C80" s="32"/>
      <x:c r="D80" s="3"/>
      <x:c r="E80" s="3"/>
      <x:c r="F80" s="3"/>
      <x:c r="G80" s="3"/>
      <x:c r="H80" s="3"/>
      <x:c r="I80" s="3"/>
      <x:c r="J80" s="19"/>
      <x:c r="K80" s="19"/>
      <x:c r="L80" s="19"/>
    </x:row>
    <x:row r="81" ht="25" customHeight="1">
      <x:c r="A81" s="2"/>
      <x:c r="B81" s="2"/>
      <x:c r="C81" s="32" t="str">
        <x:v>Fixed onboarding hours per organisation</x:v>
      </x:c>
      <x:c r="D81" s="16" t="n">
        <x:v>120</x:v>
      </x:c>
      <x:c r="E81" s="16" t="n">
        <x:v>110</x:v>
      </x:c>
      <x:c r="F81" s="16" t="n">
        <x:v>90</x:v>
      </x:c>
      <x:c r="G81" s="16" t="n">
        <x:v>70</x:v>
      </x:c>
      <x:c r="H81" s="16" t="n">
        <x:v>50</x:v>
      </x:c>
      <x:c r="I81" s="3"/>
      <x:c r="J81" s="19" t="str">
        <x:v>Integration, rollout, support and exception handling. Reduction represents productised rollout and standard connectors.</x:v>
      </x:c>
      <x:c r="K81" s="19"/>
      <x:c r="L81" s="19"/>
    </x:row>
    <x:row r="82" ht="25" customHeight="1">
      <x:c r="A82" s="2"/>
      <x:c r="B82" s="2"/>
      <x:c r="C82" s="32"/>
      <x:c r="D82" s="3"/>
      <x:c r="E82" s="3"/>
      <x:c r="F82" s="3"/>
      <x:c r="G82" s="3"/>
      <x:c r="H82" s="3"/>
      <x:c r="I82" s="3"/>
      <x:c r="J82" s="19"/>
      <x:c r="K82" s="19"/>
      <x:c r="L82" s="19"/>
    </x:row>
    <x:row r="83" ht="25" customHeight="1">
      <x:c r="A83" s="2"/>
      <x:c r="B83" s="2"/>
      <x:c r="C83" s="32" t="str">
        <x:v>Onboarding QA hours per mapped employee</x:v>
      </x:c>
      <x:c r="D83" s="25" t="n">
        <x:v>0.25</x:v>
      </x:c>
      <x:c r="E83" s="25" t="n">
        <x:v>0.22</x:v>
      </x:c>
      <x:c r="F83" s="25" t="n">
        <x:v>0.18</x:v>
      </x:c>
      <x:c r="G83" s="25" t="n">
        <x:v>0.12</x:v>
      </x:c>
      <x:c r="H83" s="25" t="n">
        <x:v>0.08</x:v>
      </x:c>
      <x:c r="I83" s="3"/>
      <x:c r="J83" s="19" t="str">
        <x:v>Uniio exception effort per mapped employee. Customer and employee review time remains outside Uniio COGS.</x:v>
      </x:c>
      <x:c r="K83" s="19"/>
      <x:c r="L83" s="19"/>
    </x:row>
    <x:row r="84" ht="25" customHeight="1">
      <x:c r="A84" s="2"/>
      <x:c r="B84" s="2"/>
      <x:c r="C84" s="32"/>
      <x:c r="D84" s="26"/>
      <x:c r="E84" s="26"/>
      <x:c r="F84" s="26"/>
      <x:c r="G84" s="26"/>
      <x:c r="H84" s="26"/>
      <x:c r="I84" s="3"/>
      <x:c r="J84" s="19"/>
      <x:c r="K84" s="19"/>
      <x:c r="L84" s="19"/>
    </x:row>
    <x:row r="85" ht="27" customHeight="1">
      <x:c r="A85" s="2"/>
      <x:c r="B85" s="2"/>
      <x:c r="C85" s="61" t="str">
        <x:v>Hiring plan for venture scale</x:v>
      </x:c>
      <x:c r="D85" s="15"/>
      <x:c r="E85" s="15"/>
      <x:c r="F85" s="15"/>
      <x:c r="G85" s="15"/>
      <x:c r="H85" s="15"/>
      <x:c r="I85" s="3"/>
      <x:c r="J85" s="3"/>
      <x:c r="K85" s="3"/>
      <x:c r="L85" s="3"/>
    </x:row>
    <x:row r="86" ht="25" customHeight="1">
      <x:c r="A86" s="2"/>
      <x:c r="B86" s="2"/>
      <x:c r="C86" s="32"/>
      <x:c r="D86" s="3"/>
      <x:c r="E86" s="3"/>
      <x:c r="F86" s="3"/>
      <x:c r="G86" s="3"/>
      <x:c r="H86" s="3"/>
      <x:c r="I86" s="3"/>
      <x:c r="J86" s="3"/>
      <x:c r="K86" s="3"/>
      <x:c r="L86" s="3"/>
    </x:row>
    <x:row r="87" ht="25" customHeight="1">
      <x:c r="A87" s="2"/>
      <x:c r="B87" s="2"/>
      <x:c r="C87" s="62" t="str">
        <x:v>Product and engineering, year end</x:v>
      </x:c>
      <x:c r="D87" s="21" t="n">
        <x:f>IF($E$3="Downside",D89,IF($E$3="Ambition",D90,D88))</x:f>
        <x:v>4</x:v>
      </x:c>
      <x:c r="E87" s="21" t="n">
        <x:f>IF($E$3="Downside",E89,IF($E$3="Ambition",E90,E88))</x:f>
        <x:v>17</x:v>
      </x:c>
      <x:c r="F87" s="21" t="n">
        <x:f>IF($E$3="Downside",F89,IF($E$3="Ambition",F90,F88))</x:f>
        <x:v>40</x:v>
      </x:c>
      <x:c r="G87" s="21" t="n">
        <x:f>IF($E$3="Downside",G89,IF($E$3="Ambition",G90,G88))</x:f>
        <x:v>85</x:v>
      </x:c>
      <x:c r="H87" s="21" t="n">
        <x:f>IF($E$3="Downside",H89,IF($E$3="Ambition",H90,H88))</x:f>
        <x:v>140</x:v>
      </x:c>
      <x:c r="I87" s="3"/>
      <x:c r="J87" s="19" t="str">
        <x:v>Mapping, platform, Live, Blueprint, Calibration, Connected, applied AI, integrations and security.</x:v>
      </x:c>
      <x:c r="K87" s="19"/>
      <x:c r="L87" s="19"/>
    </x:row>
    <x:row r="88" ht="25" customHeight="1">
      <x:c r="A88" s="2"/>
      <x:c r="B88" s="2"/>
      <x:c r="C88" s="32" t="str">
        <x:v>Base</x:v>
      </x:c>
      <x:c r="D88" s="16" t="n">
        <x:v>4</x:v>
      </x:c>
      <x:c r="E88" s="16" t="n">
        <x:v>17</x:v>
      </x:c>
      <x:c r="F88" s="16" t="n">
        <x:v>40</x:v>
      </x:c>
      <x:c r="G88" s="16" t="n">
        <x:v>85</x:v>
      </x:c>
      <x:c r="H88" s="16" t="n">
        <x:v>140</x:v>
      </x:c>
      <x:c r="I88" s="3"/>
      <x:c r="J88" s="19"/>
      <x:c r="K88" s="19"/>
      <x:c r="L88" s="19"/>
    </x:row>
    <x:row r="89" ht="25" customHeight="1">
      <x:c r="A89" s="2"/>
      <x:c r="B89" s="2"/>
      <x:c r="C89" s="32" t="str">
        <x:v>Downside</x:v>
      </x:c>
      <x:c r="D89" s="16" t="n">
        <x:v>3</x:v>
      </x:c>
      <x:c r="E89" s="16" t="n">
        <x:v>12</x:v>
      </x:c>
      <x:c r="F89" s="16" t="n">
        <x:v>25</x:v>
      </x:c>
      <x:c r="G89" s="16" t="n">
        <x:v>50</x:v>
      </x:c>
      <x:c r="H89" s="16" t="n">
        <x:v>85</x:v>
      </x:c>
      <x:c r="I89" s="3"/>
      <x:c r="J89" s="19"/>
      <x:c r="K89" s="19"/>
      <x:c r="L89" s="19"/>
    </x:row>
    <x:row r="90" ht="25" customHeight="1">
      <x:c r="A90" s="2"/>
      <x:c r="B90" s="2"/>
      <x:c r="C90" s="32" t="str">
        <x:v>Ambition</x:v>
      </x:c>
      <x:c r="D90" s="16" t="n">
        <x:v>5</x:v>
      </x:c>
      <x:c r="E90" s="16" t="n">
        <x:v>22</x:v>
      </x:c>
      <x:c r="F90" s="16" t="n">
        <x:v>55</x:v>
      </x:c>
      <x:c r="G90" s="16" t="n">
        <x:v>110</x:v>
      </x:c>
      <x:c r="H90" s="16" t="n">
        <x:v>180</x:v>
      </x:c>
      <x:c r="I90" s="3"/>
      <x:c r="J90" s="19"/>
      <x:c r="K90" s="19"/>
      <x:c r="L90" s="19"/>
    </x:row>
    <x:row r="91" ht="25" customHeight="1">
      <x:c r="A91" s="2"/>
      <x:c r="B91" s="2"/>
      <x:c r="C91" s="32"/>
      <x:c r="D91" s="3"/>
      <x:c r="E91" s="3"/>
      <x:c r="F91" s="3"/>
      <x:c r="G91" s="3"/>
      <x:c r="H91" s="3"/>
      <x:c r="I91" s="3"/>
      <x:c r="J91" s="19"/>
      <x:c r="K91" s="19"/>
      <x:c r="L91" s="19"/>
    </x:row>
    <x:row r="92" ht="25" customHeight="1">
      <x:c r="A92" s="2"/>
      <x:c r="B92" s="2"/>
      <x:c r="C92" s="62" t="str">
        <x:v>Sales and marketing, year end</x:v>
      </x:c>
      <x:c r="D92" s="21" t="n">
        <x:f>IF($E$3="Downside",D94,IF($E$3="Ambition",D95,D93))</x:f>
        <x:v>1</x:v>
      </x:c>
      <x:c r="E92" s="21" t="n">
        <x:f>IF($E$3="Downside",E94,IF($E$3="Ambition",E95,E93))</x:f>
        <x:v>10</x:v>
      </x:c>
      <x:c r="F92" s="21" t="n">
        <x:f>IF($E$3="Downside",F94,IF($E$3="Ambition",F95,F93))</x:f>
        <x:v>45</x:v>
      </x:c>
      <x:c r="G92" s="21" t="n">
        <x:f>IF($E$3="Downside",G94,IF($E$3="Ambition",G95,G93))</x:f>
        <x:v>135</x:v>
      </x:c>
      <x:c r="H92" s="21" t="n">
        <x:f>IF($E$3="Downside",H94,IF($E$3="Ambition",H95,H93))</x:f>
        <x:v>245</x:v>
      </x:c>
      <x:c r="I92" s="3"/>
      <x:c r="J92" s="19" t="str">
        <x:v>AEs, SDRs, solutions, regional leadership, marketing and partner enablement. Hired ahead of revenue.</x:v>
      </x:c>
      <x:c r="K92" s="19"/>
      <x:c r="L92" s="19"/>
    </x:row>
    <x:row r="93" ht="25" customHeight="1">
      <x:c r="A93" s="2"/>
      <x:c r="B93" s="2"/>
      <x:c r="C93" s="32" t="str">
        <x:v>Base</x:v>
      </x:c>
      <x:c r="D93" s="16" t="n">
        <x:v>1</x:v>
      </x:c>
      <x:c r="E93" s="16" t="n">
        <x:v>10</x:v>
      </x:c>
      <x:c r="F93" s="16" t="n">
        <x:v>45</x:v>
      </x:c>
      <x:c r="G93" s="16" t="n">
        <x:v>135</x:v>
      </x:c>
      <x:c r="H93" s="16" t="n">
        <x:v>245</x:v>
      </x:c>
      <x:c r="I93" s="3"/>
      <x:c r="J93" s="19"/>
      <x:c r="K93" s="19"/>
      <x:c r="L93" s="19"/>
    </x:row>
    <x:row r="94" ht="25" customHeight="1">
      <x:c r="A94" s="2"/>
      <x:c r="B94" s="2"/>
      <x:c r="C94" s="32" t="str">
        <x:v>Downside</x:v>
      </x:c>
      <x:c r="D94" s="16" t="n">
        <x:v>1</x:v>
      </x:c>
      <x:c r="E94" s="16" t="n">
        <x:v>7</x:v>
      </x:c>
      <x:c r="F94" s="16" t="n">
        <x:v>22</x:v>
      </x:c>
      <x:c r="G94" s="16" t="n">
        <x:v>60</x:v>
      </x:c>
      <x:c r="H94" s="16" t="n">
        <x:v>120</x:v>
      </x:c>
      <x:c r="I94" s="3"/>
      <x:c r="J94" s="19"/>
      <x:c r="K94" s="19"/>
      <x:c r="L94" s="19"/>
    </x:row>
    <x:row r="95" ht="25" customHeight="1">
      <x:c r="A95" s="2"/>
      <x:c r="B95" s="2"/>
      <x:c r="C95" s="32" t="str">
        <x:v>Ambition</x:v>
      </x:c>
      <x:c r="D95" s="16" t="n">
        <x:v>2</x:v>
      </x:c>
      <x:c r="E95" s="16" t="n">
        <x:v>15</x:v>
      </x:c>
      <x:c r="F95" s="16" t="n">
        <x:v>65</x:v>
      </x:c>
      <x:c r="G95" s="16" t="n">
        <x:v>185</x:v>
      </x:c>
      <x:c r="H95" s="16" t="n">
        <x:v>320</x:v>
      </x:c>
      <x:c r="I95" s="3"/>
      <x:c r="J95" s="19"/>
      <x:c r="K95" s="19"/>
      <x:c r="L95" s="19"/>
    </x:row>
    <x:row r="96" ht="25" customHeight="1">
      <x:c r="A96" s="2"/>
      <x:c r="B96" s="2"/>
      <x:c r="C96" s="32"/>
      <x:c r="D96" s="3"/>
      <x:c r="E96" s="3"/>
      <x:c r="F96" s="3"/>
      <x:c r="G96" s="3"/>
      <x:c r="H96" s="3"/>
      <x:c r="I96" s="3"/>
      <x:c r="J96" s="19"/>
      <x:c r="K96" s="19"/>
      <x:c r="L96" s="19"/>
    </x:row>
    <x:row r="97" ht="25" customHeight="1">
      <x:c r="A97" s="2"/>
      <x:c r="B97" s="2"/>
      <x:c r="C97" s="62" t="str">
        <x:v>Delivery and customer success, year end</x:v>
      </x:c>
      <x:c r="D97" s="21" t="n">
        <x:f>IF($E$3="Downside",D99,IF($E$3="Ambition",D100,D98))</x:f>
        <x:v>1</x:v>
      </x:c>
      <x:c r="E97" s="21" t="n">
        <x:f>IF($E$3="Downside",E99,IF($E$3="Ambition",E100,E98))</x:f>
        <x:v>14</x:v>
      </x:c>
      <x:c r="F97" s="21" t="n">
        <x:f>IF($E$3="Downside",F99,IF($E$3="Ambition",F100,F98))</x:f>
        <x:v>40</x:v>
      </x:c>
      <x:c r="G97" s="21" t="n">
        <x:f>IF($E$3="Downside",G99,IF($E$3="Ambition",G100,G98))</x:f>
        <x:v>100</x:v>
      </x:c>
      <x:c r="H97" s="21" t="n">
        <x:f>IF($E$3="Downside",H99,IF($E$3="Ambition",H100,H98))</x:f>
        <x:v>200</x:v>
      </x:c>
      <x:c r="I97" s="3"/>
      <x:c r="J97" s="19" t="str">
        <x:v>Implementation, customer success and support. Headcount grows slower than mappings as the product automates rollout.</x:v>
      </x:c>
      <x:c r="K97" s="19"/>
      <x:c r="L97" s="19"/>
    </x:row>
    <x:row r="98" ht="25" customHeight="1">
      <x:c r="A98" s="2"/>
      <x:c r="B98" s="2"/>
      <x:c r="C98" s="32" t="str">
        <x:v>Base</x:v>
      </x:c>
      <x:c r="D98" s="16" t="n">
        <x:v>1</x:v>
      </x:c>
      <x:c r="E98" s="16" t="n">
        <x:v>14</x:v>
      </x:c>
      <x:c r="F98" s="16" t="n">
        <x:v>40</x:v>
      </x:c>
      <x:c r="G98" s="16" t="n">
        <x:v>100</x:v>
      </x:c>
      <x:c r="H98" s="16" t="n">
        <x:v>200</x:v>
      </x:c>
      <x:c r="I98" s="3"/>
      <x:c r="J98" s="19"/>
      <x:c r="K98" s="19"/>
      <x:c r="L98" s="19"/>
    </x:row>
    <x:row r="99" ht="25" customHeight="1">
      <x:c r="A99" s="2"/>
      <x:c r="B99" s="2"/>
      <x:c r="C99" s="32" t="str">
        <x:v>Downside</x:v>
      </x:c>
      <x:c r="D99" s="16" t="n">
        <x:v>1</x:v>
      </x:c>
      <x:c r="E99" s="16" t="n">
        <x:v>8</x:v>
      </x:c>
      <x:c r="F99" s="16" t="n">
        <x:v>24</x:v>
      </x:c>
      <x:c r="G99" s="16" t="n">
        <x:v>60</x:v>
      </x:c>
      <x:c r="H99" s="16" t="n">
        <x:v>120</x:v>
      </x:c>
      <x:c r="I99" s="3"/>
      <x:c r="J99" s="19"/>
      <x:c r="K99" s="19"/>
      <x:c r="L99" s="19"/>
    </x:row>
    <x:row r="100" ht="25" customHeight="1">
      <x:c r="A100" s="2"/>
      <x:c r="B100" s="2"/>
      <x:c r="C100" s="32" t="str">
        <x:v>Ambition</x:v>
      </x:c>
      <x:c r="D100" s="16" t="n">
        <x:v>2</x:v>
      </x:c>
      <x:c r="E100" s="16" t="n">
        <x:v>20</x:v>
      </x:c>
      <x:c r="F100" s="16" t="n">
        <x:v>55</x:v>
      </x:c>
      <x:c r="G100" s="16" t="n">
        <x:v>135</x:v>
      </x:c>
      <x:c r="H100" s="16" t="n">
        <x:v>260</x:v>
      </x:c>
      <x:c r="I100" s="3"/>
      <x:c r="J100" s="19"/>
      <x:c r="K100" s="19"/>
      <x:c r="L100" s="19"/>
    </x:row>
    <x:row r="101" ht="25" customHeight="1">
      <x:c r="A101" s="2"/>
      <x:c r="B101" s="2"/>
      <x:c r="C101" s="32"/>
      <x:c r="D101" s="3"/>
      <x:c r="E101" s="3"/>
      <x:c r="F101" s="3"/>
      <x:c r="G101" s="3"/>
      <x:c r="H101" s="3"/>
      <x:c r="I101" s="3"/>
      <x:c r="J101" s="19"/>
      <x:c r="K101" s="19"/>
      <x:c r="L101" s="19"/>
    </x:row>
    <x:row r="102" ht="25" customHeight="1">
      <x:c r="A102" s="2"/>
      <x:c r="B102" s="2"/>
      <x:c r="C102" s="62" t="str">
        <x:v>Leadership and administration, year end</x:v>
      </x:c>
      <x:c r="D102" s="21" t="n">
        <x:f>IF($E$3="Downside",D104,IF($E$3="Ambition",D105,D103))</x:f>
        <x:v>2</x:v>
      </x:c>
      <x:c r="E102" s="21" t="n">
        <x:f>IF($E$3="Downside",E104,IF($E$3="Ambition",E105,E103))</x:f>
        <x:v>5</x:v>
      </x:c>
      <x:c r="F102" s="21" t="n">
        <x:f>IF($E$3="Downside",F104,IF($E$3="Ambition",F105,F103))</x:f>
        <x:v>15</x:v>
      </x:c>
      <x:c r="G102" s="21" t="n">
        <x:f>IF($E$3="Downside",G104,IF($E$3="Ambition",G105,G103))</x:f>
        <x:v>30</x:v>
      </x:c>
      <x:c r="H102" s="21" t="n">
        <x:f>IF($E$3="Downside",H104,IF($E$3="Ambition",H105,H103))</x:f>
        <x:v>50</x:v>
      </x:c>
      <x:c r="I102" s="3"/>
      <x:c r="J102" s="19" t="str">
        <x:v>CEO, finance, people, legal and administration. Total headcount is calculated with no fixed ceiling.</x:v>
      </x:c>
      <x:c r="K102" s="19"/>
      <x:c r="L102" s="19"/>
    </x:row>
    <x:row r="103" ht="25" customHeight="1">
      <x:c r="A103" s="2"/>
      <x:c r="B103" s="2"/>
      <x:c r="C103" s="32" t="str">
        <x:v>Base</x:v>
      </x:c>
      <x:c r="D103" s="16" t="n">
        <x:v>2</x:v>
      </x:c>
      <x:c r="E103" s="16" t="n">
        <x:v>5</x:v>
      </x:c>
      <x:c r="F103" s="16" t="n">
        <x:v>15</x:v>
      </x:c>
      <x:c r="G103" s="16" t="n">
        <x:v>30</x:v>
      </x:c>
      <x:c r="H103" s="16" t="n">
        <x:v>50</x:v>
      </x:c>
      <x:c r="I103" s="3"/>
      <x:c r="J103" s="19"/>
      <x:c r="K103" s="19"/>
      <x:c r="L103" s="19"/>
    </x:row>
    <x:row r="104" ht="25" customHeight="1">
      <x:c r="A104" s="2"/>
      <x:c r="B104" s="2"/>
      <x:c r="C104" s="32" t="str">
        <x:v>Downside</x:v>
      </x:c>
      <x:c r="D104" s="16" t="n">
        <x:v>2</x:v>
      </x:c>
      <x:c r="E104" s="16" t="n">
        <x:v>4</x:v>
      </x:c>
      <x:c r="F104" s="16" t="n">
        <x:v>10</x:v>
      </x:c>
      <x:c r="G104" s="16" t="n">
        <x:v>20</x:v>
      </x:c>
      <x:c r="H104" s="16" t="n">
        <x:v>35</x:v>
      </x:c>
      <x:c r="I104" s="3"/>
      <x:c r="J104" s="19"/>
      <x:c r="K104" s="19"/>
      <x:c r="L104" s="19"/>
    </x:row>
    <x:row r="105" ht="25" customHeight="1">
      <x:c r="A105" s="2"/>
      <x:c r="B105" s="2"/>
      <x:c r="C105" s="32" t="str">
        <x:v>Ambition</x:v>
      </x:c>
      <x:c r="D105" s="16" t="n">
        <x:v>2</x:v>
      </x:c>
      <x:c r="E105" s="16" t="n">
        <x:v>7</x:v>
      </x:c>
      <x:c r="F105" s="16" t="n">
        <x:v>20</x:v>
      </x:c>
      <x:c r="G105" s="16" t="n">
        <x:v>40</x:v>
      </x:c>
      <x:c r="H105" s="16" t="n">
        <x:v>65</x:v>
      </x:c>
      <x:c r="I105" s="3"/>
      <x:c r="J105" s="19"/>
      <x:c r="K105" s="19"/>
      <x:c r="L105" s="19"/>
    </x:row>
    <x:row r="106" ht="25" customHeight="1">
      <x:c r="A106" s="2"/>
      <x:c r="B106" s="2"/>
      <x:c r="C106" s="32"/>
      <x:c r="D106" s="3"/>
      <x:c r="E106" s="3"/>
      <x:c r="F106" s="3"/>
      <x:c r="G106" s="3"/>
      <x:c r="H106" s="3"/>
      <x:c r="I106" s="3"/>
      <x:c r="J106" s="19"/>
      <x:c r="K106" s="19"/>
      <x:c r="L106" s="19"/>
    </x:row>
    <x:row r="107" ht="25" customHeight="1">
      <x:c r="A107" s="2"/>
      <x:c r="B107" s="2"/>
      <x:c r="C107" s="62" t="str">
        <x:v>Account executives within sales team</x:v>
      </x:c>
      <x:c r="D107" s="21" t="n">
        <x:f>IF($E$3="Downside",D109,IF($E$3="Ambition",D110,D108))</x:f>
        <x:v>0</x:v>
      </x:c>
      <x:c r="E107" s="21" t="n">
        <x:f>IF($E$3="Downside",E109,IF($E$3="Ambition",E110,E108))</x:f>
        <x:v>5</x:v>
      </x:c>
      <x:c r="F107" s="21" t="n">
        <x:f>IF($E$3="Downside",F109,IF($E$3="Ambition",F110,F108))</x:f>
        <x:v>28</x:v>
      </x:c>
      <x:c r="G107" s="21" t="n">
        <x:f>IF($E$3="Downside",G109,IF($E$3="Ambition",G110,G108))</x:f>
        <x:v>78</x:v>
      </x:c>
      <x:c r="H107" s="21" t="n">
        <x:f>IF($E$3="Downside",H109,IF($E$3="Ambition",H110,H108))</x:f>
        <x:v>145</x:v>
      </x:c>
      <x:c r="I107" s="3"/>
      <x:c r="J107" s="19" t="str">
        <x:v>Subset of sales. Hires are spread through each year and need six months to ramp.</x:v>
      </x:c>
      <x:c r="K107" s="19"/>
      <x:c r="L107" s="19"/>
    </x:row>
    <x:row r="108" ht="25" customHeight="1">
      <x:c r="A108" s="2"/>
      <x:c r="B108" s="2"/>
      <x:c r="C108" s="32" t="str">
        <x:v>Base</x:v>
      </x:c>
      <x:c r="D108" s="16" t="n">
        <x:v>0</x:v>
      </x:c>
      <x:c r="E108" s="16" t="n">
        <x:v>5</x:v>
      </x:c>
      <x:c r="F108" s="16" t="n">
        <x:v>28</x:v>
      </x:c>
      <x:c r="G108" s="16" t="n">
        <x:v>78</x:v>
      </x:c>
      <x:c r="H108" s="16" t="n">
        <x:v>145</x:v>
      </x:c>
      <x:c r="I108" s="3"/>
      <x:c r="J108" s="19"/>
      <x:c r="K108" s="19"/>
      <x:c r="L108" s="19"/>
    </x:row>
    <x:row r="109" ht="25" customHeight="1">
      <x:c r="A109" s="2"/>
      <x:c r="B109" s="2"/>
      <x:c r="C109" s="32" t="str">
        <x:v>Downside</x:v>
      </x:c>
      <x:c r="D109" s="16" t="n">
        <x:v>0</x:v>
      </x:c>
      <x:c r="E109" s="16" t="n">
        <x:v>3</x:v>
      </x:c>
      <x:c r="F109" s="16" t="n">
        <x:v>12</x:v>
      </x:c>
      <x:c r="G109" s="16" t="n">
        <x:v>35</x:v>
      </x:c>
      <x:c r="H109" s="16" t="n">
        <x:v>70</x:v>
      </x:c>
      <x:c r="I109" s="3"/>
      <x:c r="J109" s="19"/>
      <x:c r="K109" s="19"/>
      <x:c r="L109" s="19"/>
    </x:row>
    <x:row r="110" ht="25" customHeight="1">
      <x:c r="A110" s="2"/>
      <x:c r="B110" s="2"/>
      <x:c r="C110" s="32" t="str">
        <x:v>Ambition</x:v>
      </x:c>
      <x:c r="D110" s="16" t="n">
        <x:v>0</x:v>
      </x:c>
      <x:c r="E110" s="16" t="n">
        <x:v>8</x:v>
      </x:c>
      <x:c r="F110" s="16" t="n">
        <x:v>40</x:v>
      </x:c>
      <x:c r="G110" s="16" t="n">
        <x:v>110</x:v>
      </x:c>
      <x:c r="H110" s="16" t="n">
        <x:v>190</x:v>
      </x:c>
      <x:c r="I110" s="3"/>
      <x:c r="J110" s="19"/>
      <x:c r="K110" s="19"/>
      <x:c r="L110" s="19"/>
    </x:row>
    <x:row r="111" ht="25" customHeight="1">
      <x:c r="A111" s="2"/>
      <x:c r="B111" s="2"/>
      <x:c r="C111" s="32"/>
      <x:c r="D111" s="3"/>
      <x:c r="E111" s="3"/>
      <x:c r="F111" s="3"/>
      <x:c r="G111" s="3"/>
      <x:c r="H111" s="3"/>
      <x:c r="I111" s="3"/>
      <x:c r="J111" s="19"/>
      <x:c r="K111" s="19"/>
      <x:c r="L111" s="19"/>
    </x:row>
    <x:row r="112" ht="27" customHeight="1">
      <x:c r="A112" s="2"/>
      <x:c r="B112" s="2"/>
      <x:c r="C112" s="61" t="str">
        <x:v>Activity, local deployment and model development</x:v>
      </x:c>
      <x:c r="D112" s="15"/>
      <x:c r="E112" s="15"/>
      <x:c r="F112" s="15"/>
      <x:c r="G112" s="15"/>
      <x:c r="H112" s="15"/>
      <x:c r="I112" s="3"/>
      <x:c r="J112" s="3"/>
      <x:c r="K112" s="3"/>
      <x:c r="L112" s="3"/>
    </x:row>
    <x:row r="113" ht="25" customHeight="1">
      <x:c r="A113" s="2"/>
      <x:c r="B113" s="2"/>
      <x:c r="C113" s="32"/>
      <x:c r="D113" s="3"/>
      <x:c r="E113" s="3"/>
      <x:c r="F113" s="3"/>
      <x:c r="G113" s="3"/>
      <x:c r="H113" s="3"/>
      <x:c r="I113" s="3"/>
      <x:c r="J113" s="3"/>
      <x:c r="K113" s="3"/>
      <x:c r="L113" s="3"/>
    </x:row>
    <x:row r="114" ht="25" customHeight="1">
      <x:c r="A114" s="2"/>
      <x:c r="B114" s="2"/>
      <x:c r="C114" s="62" t="str">
        <x:v>Mapping workload multiplier</x:v>
      </x:c>
      <x:c r="D114" s="27" t="n">
        <x:f>IF($E$3="Downside",D116,IF($E$3="Ambition",D117,D115))</x:f>
        <x:v>1</x:v>
      </x:c>
      <x:c r="E114" s="27" t="n">
        <x:f>IF($E$3="Downside",E116,IF($E$3="Ambition",E117,E115))</x:f>
        <x:v>1</x:v>
      </x:c>
      <x:c r="F114" s="27" t="n">
        <x:f>IF($E$3="Downside",F116,IF($E$3="Ambition",F117,F115))</x:f>
        <x:v>0.9</x:v>
      </x:c>
      <x:c r="G114" s="27" t="n">
        <x:f>IF($E$3="Downside",G116,IF($E$3="Ambition",G117,G115))</x:f>
        <x:v>0.8</x:v>
      </x:c>
      <x:c r="H114" s="27" t="n">
        <x:f>IF($E$3="Downside",H116,IF($E$3="Ambition",H117,H115))</x:f>
        <x:v>0.75</x:v>
      </x:c>
      <x:c r="I114" s="3"/>
      <x:c r="J114" s="19" t="str">
        <x:v>Applies to billable model calls. Base efficiency comes from less repeated work. Unit prices held constant.</x:v>
      </x:c>
      <x:c r="K114" s="19"/>
      <x:c r="L114" s="19"/>
    </x:row>
    <x:row r="115" ht="25" customHeight="1">
      <x:c r="A115" s="2"/>
      <x:c r="B115" s="2"/>
      <x:c r="C115" s="32" t="str">
        <x:v>Base</x:v>
      </x:c>
      <x:c r="D115" s="25" t="n">
        <x:v>1</x:v>
      </x:c>
      <x:c r="E115" s="25" t="n">
        <x:v>1</x:v>
      </x:c>
      <x:c r="F115" s="25" t="n">
        <x:v>0.9</x:v>
      </x:c>
      <x:c r="G115" s="25" t="n">
        <x:v>0.8</x:v>
      </x:c>
      <x:c r="H115" s="25" t="n">
        <x:v>0.75</x:v>
      </x:c>
      <x:c r="I115" s="3"/>
      <x:c r="J115" s="19"/>
      <x:c r="K115" s="19"/>
      <x:c r="L115" s="19"/>
    </x:row>
    <x:row r="116" ht="25" customHeight="1">
      <x:c r="A116" s="2"/>
      <x:c r="B116" s="2"/>
      <x:c r="C116" s="32" t="str">
        <x:v>Downside</x:v>
      </x:c>
      <x:c r="D116" s="25" t="n">
        <x:v>1.5</x:v>
      </x:c>
      <x:c r="E116" s="25" t="n">
        <x:v>1.5</x:v>
      </x:c>
      <x:c r="F116" s="25" t="n">
        <x:v>1.4</x:v>
      </x:c>
      <x:c r="G116" s="25" t="n">
        <x:v>1.3</x:v>
      </x:c>
      <x:c r="H116" s="25" t="n">
        <x:v>1.2</x:v>
      </x:c>
      <x:c r="I116" s="3"/>
      <x:c r="J116" s="19"/>
      <x:c r="K116" s="19"/>
      <x:c r="L116" s="19"/>
    </x:row>
    <x:row r="117" ht="25" customHeight="1">
      <x:c r="A117" s="2"/>
      <x:c r="B117" s="2"/>
      <x:c r="C117" s="32" t="str">
        <x:v>Ambition</x:v>
      </x:c>
      <x:c r="D117" s="25" t="n">
        <x:v>1</x:v>
      </x:c>
      <x:c r="E117" s="25" t="n">
        <x:v>1</x:v>
      </x:c>
      <x:c r="F117" s="25" t="n">
        <x:v>0.85</x:v>
      </x:c>
      <x:c r="G117" s="25" t="n">
        <x:v>0.7</x:v>
      </x:c>
      <x:c r="H117" s="25" t="n">
        <x:v>0.6</x:v>
      </x:c>
      <x:c r="I117" s="3"/>
      <x:c r="J117" s="19"/>
      <x:c r="K117" s="19"/>
      <x:c r="L117" s="19"/>
    </x:row>
    <x:row r="118" ht="25" customHeight="1">
      <x:c r="A118" s="2"/>
      <x:c r="B118" s="2"/>
      <x:c r="C118" s="32"/>
      <x:c r="D118" s="26"/>
      <x:c r="E118" s="26"/>
      <x:c r="F118" s="26"/>
      <x:c r="G118" s="26"/>
      <x:c r="H118" s="26"/>
      <x:c r="I118" s="3"/>
      <x:c r="J118" s="19"/>
      <x:c r="K118" s="19"/>
      <x:c r="L118" s="19"/>
    </x:row>
    <x:row r="119" ht="25" customHeight="1">
      <x:c r="A119" s="2"/>
      <x:c r="B119" s="2"/>
      <x:c r="C119" s="62" t="str">
        <x:v>Live workflow volume multiplier</x:v>
      </x:c>
      <x:c r="D119" s="27" t="n">
        <x:f>IF($E$3="Downside",D121,IF($E$3="Ambition",D122,D120))</x:f>
        <x:v>1</x:v>
      </x:c>
      <x:c r="E119" s="27" t="n">
        <x:f>IF($E$3="Downside",E121,IF($E$3="Ambition",E122,E120))</x:f>
        <x:v>1</x:v>
      </x:c>
      <x:c r="F119" s="27" t="n">
        <x:f>IF($E$3="Downside",F121,IF($E$3="Ambition",F122,F120))</x:f>
        <x:v>1</x:v>
      </x:c>
      <x:c r="G119" s="27" t="n">
        <x:f>IF($E$3="Downside",G121,IF($E$3="Ambition",G122,G120))</x:f>
        <x:v>1</x:v>
      </x:c>
      <x:c r="H119" s="27" t="n">
        <x:f>IF($E$3="Downside",H121,IF($E$3="Ambition",H122,H120))</x:f>
        <x:v>1</x:v>
      </x:c>
      <x:c r="I119" s="3"/>
      <x:c r="J119" s="19" t="str">
        <x:v>Changing workflow volume affects API tokens and local GPU demand. No assumption that later phases are compute-free.</x:v>
      </x:c>
      <x:c r="K119" s="19"/>
      <x:c r="L119" s="19"/>
    </x:row>
    <x:row r="120" ht="25" customHeight="1">
      <x:c r="A120" s="2"/>
      <x:c r="B120" s="2"/>
      <x:c r="C120" s="32" t="str">
        <x:v>Base</x:v>
      </x:c>
      <x:c r="D120" s="25" t="n">
        <x:v>1</x:v>
      </x:c>
      <x:c r="E120" s="25" t="n">
        <x:v>1</x:v>
      </x:c>
      <x:c r="F120" s="25" t="n">
        <x:v>1</x:v>
      </x:c>
      <x:c r="G120" s="25" t="n">
        <x:v>1</x:v>
      </x:c>
      <x:c r="H120" s="25" t="n">
        <x:v>1</x:v>
      </x:c>
      <x:c r="I120" s="3"/>
      <x:c r="J120" s="19"/>
      <x:c r="K120" s="19"/>
      <x:c r="L120" s="19"/>
    </x:row>
    <x:row r="121" ht="25" customHeight="1">
      <x:c r="A121" s="2"/>
      <x:c r="B121" s="2"/>
      <x:c r="C121" s="32" t="str">
        <x:v>Downside</x:v>
      </x:c>
      <x:c r="D121" s="25" t="n">
        <x:v>2</x:v>
      </x:c>
      <x:c r="E121" s="25" t="n">
        <x:v>2</x:v>
      </x:c>
      <x:c r="F121" s="25" t="n">
        <x:v>2</x:v>
      </x:c>
      <x:c r="G121" s="25" t="n">
        <x:v>2</x:v>
      </x:c>
      <x:c r="H121" s="25" t="n">
        <x:v>2</x:v>
      </x:c>
      <x:c r="I121" s="3"/>
      <x:c r="J121" s="19"/>
      <x:c r="K121" s="19"/>
      <x:c r="L121" s="19"/>
    </x:row>
    <x:row r="122" ht="25" customHeight="1">
      <x:c r="A122" s="2"/>
      <x:c r="B122" s="2"/>
      <x:c r="C122" s="32" t="str">
        <x:v>Ambition</x:v>
      </x:c>
      <x:c r="D122" s="25" t="n">
        <x:v>1</x:v>
      </x:c>
      <x:c r="E122" s="25" t="n">
        <x:v>1</x:v>
      </x:c>
      <x:c r="F122" s="25" t="n">
        <x:v>1</x:v>
      </x:c>
      <x:c r="G122" s="25" t="n">
        <x:v>1</x:v>
      </x:c>
      <x:c r="H122" s="25" t="n">
        <x:v>1</x:v>
      </x:c>
      <x:c r="I122" s="3"/>
      <x:c r="J122" s="19"/>
      <x:c r="K122" s="19"/>
      <x:c r="L122" s="19"/>
    </x:row>
    <x:row r="123" ht="25" customHeight="1">
      <x:c r="A123" s="2"/>
      <x:c r="B123" s="2"/>
      <x:c r="C123" s="32"/>
      <x:c r="D123" s="26"/>
      <x:c r="E123" s="26"/>
      <x:c r="F123" s="26"/>
      <x:c r="G123" s="26"/>
      <x:c r="H123" s="26"/>
      <x:c r="I123" s="3"/>
      <x:c r="J123" s="19"/>
      <x:c r="K123" s="19"/>
      <x:c r="L123" s="19"/>
    </x:row>
    <x:row r="124" ht="25" customHeight="1">
      <x:c r="A124" s="2"/>
      <x:c r="B124" s="2"/>
      <x:c r="C124" s="62" t="str">
        <x:v>Share of tenant workloads run locally</x:v>
      </x:c>
      <x:c r="D124" s="24" t="n">
        <x:f>IF($E$3="Downside",D126,IF($E$3="Ambition",D127,D125))</x:f>
        <x:v>0</x:v>
      </x:c>
      <x:c r="E124" s="24" t="n">
        <x:f>IF($E$3="Downside",E126,IF($E$3="Ambition",E127,E125))</x:f>
        <x:v>0</x:v>
      </x:c>
      <x:c r="F124" s="24" t="n">
        <x:f>IF($E$3="Downside",F126,IF($E$3="Ambition",F127,F125))</x:f>
        <x:v>0.2</x:v>
      </x:c>
      <x:c r="G124" s="24" t="n">
        <x:f>IF($E$3="Downside",G126,IF($E$3="Ambition",G127,G125))</x:f>
        <x:v>0.5</x:v>
      </x:c>
      <x:c r="H124" s="24" t="n">
        <x:f>IF($E$3="Downside",H126,IF($E$3="Ambition",H127,H125))</x:f>
        <x:v>0.7</x:v>
      </x:c>
      <x:c r="I124" s="3"/>
      <x:c r="J124" s="19" t="str">
        <x:v>Dedicated customer environment with Uniio model updates. Local workloads use a separate runtime budget.</x:v>
      </x:c>
      <x:c r="K124" s="19"/>
      <x:c r="L124" s="19"/>
    </x:row>
    <x:row r="125" ht="25" customHeight="1">
      <x:c r="A125" s="2"/>
      <x:c r="B125" s="2"/>
      <x:c r="C125" s="32" t="str">
        <x:v>Base</x:v>
      </x:c>
      <x:c r="D125" s="22" t="n">
        <x:v>0</x:v>
      </x:c>
      <x:c r="E125" s="22" t="n">
        <x:v>0</x:v>
      </x:c>
      <x:c r="F125" s="22" t="n">
        <x:v>0.2</x:v>
      </x:c>
      <x:c r="G125" s="22" t="n">
        <x:v>0.5</x:v>
      </x:c>
      <x:c r="H125" s="22" t="n">
        <x:v>0.7</x:v>
      </x:c>
      <x:c r="I125" s="3"/>
      <x:c r="J125" s="19"/>
      <x:c r="K125" s="19"/>
      <x:c r="L125" s="19"/>
    </x:row>
    <x:row r="126" ht="25" customHeight="1">
      <x:c r="A126" s="2"/>
      <x:c r="B126" s="2"/>
      <x:c r="C126" s="32" t="str">
        <x:v>Downside</x:v>
      </x:c>
      <x:c r="D126" s="22" t="n">
        <x:v>0</x:v>
      </x:c>
      <x:c r="E126" s="22" t="n">
        <x:v>0</x:v>
      </x:c>
      <x:c r="F126" s="22" t="n">
        <x:v>0</x:v>
      </x:c>
      <x:c r="G126" s="22" t="n">
        <x:v>0.1</x:v>
      </x:c>
      <x:c r="H126" s="22" t="n">
        <x:v>0.2</x:v>
      </x:c>
      <x:c r="I126" s="3"/>
      <x:c r="J126" s="19"/>
      <x:c r="K126" s="19"/>
      <x:c r="L126" s="19"/>
    </x:row>
    <x:row r="127" ht="25" customHeight="1">
      <x:c r="A127" s="2"/>
      <x:c r="B127" s="2"/>
      <x:c r="C127" s="32" t="str">
        <x:v>Ambition</x:v>
      </x:c>
      <x:c r="D127" s="22" t="n">
        <x:v>0</x:v>
      </x:c>
      <x:c r="E127" s="22" t="n">
        <x:v>0</x:v>
      </x:c>
      <x:c r="F127" s="22" t="n">
        <x:v>0.3</x:v>
      </x:c>
      <x:c r="G127" s="22" t="n">
        <x:v>0.6</x:v>
      </x:c>
      <x:c r="H127" s="22" t="n">
        <x:v>0.8</x:v>
      </x:c>
      <x:c r="I127" s="3"/>
      <x:c r="J127" s="19"/>
      <x:c r="K127" s="19"/>
      <x:c r="L127" s="19"/>
    </x:row>
    <x:row r="128" ht="25" customHeight="1">
      <x:c r="A128" s="2"/>
      <x:c r="B128" s="2"/>
      <x:c r="C128" s="32"/>
      <x:c r="D128" s="23"/>
      <x:c r="E128" s="23"/>
      <x:c r="F128" s="23"/>
      <x:c r="G128" s="23"/>
      <x:c r="H128" s="23"/>
      <x:c r="I128" s="3"/>
      <x:c r="J128" s="19"/>
      <x:c r="K128" s="19"/>
      <x:c r="L128" s="19"/>
    </x:row>
    <x:row r="129" ht="25" customHeight="1">
      <x:c r="A129" s="2"/>
      <x:c r="B129" s="2"/>
      <x:c r="C129" s="32" t="str">
        <x:v>Uniio share of local infrastructure cost</x:v>
      </x:c>
      <x:c r="D129" s="22" t="n">
        <x:v>1</x:v>
      </x:c>
      <x:c r="E129" s="22" t="n">
        <x:v>1</x:v>
      </x:c>
      <x:c r="F129" s="22" t="n">
        <x:v>1</x:v>
      </x:c>
      <x:c r="G129" s="22" t="n">
        <x:v>1</x:v>
      </x:c>
      <x:c r="H129" s="22" t="n">
        <x:v>1</x:v>
      </x:c>
      <x:c r="I129" s="3"/>
      <x:c r="J129" s="19" t="str">
        <x:v>Base charges all local infrastructure to Uniio. Set to zero only when the customer contract pays it. Customer-borne cost remains visible.</x:v>
      </x:c>
      <x:c r="K129" s="19"/>
      <x:c r="L129" s="19"/>
    </x:row>
    <x:row r="130" ht="25" customHeight="1">
      <x:c r="A130" s="2"/>
      <x:c r="B130" s="2"/>
      <x:c r="C130" s="32"/>
      <x:c r="D130" s="23"/>
      <x:c r="E130" s="23"/>
      <x:c r="F130" s="23"/>
      <x:c r="G130" s="23"/>
      <x:c r="H130" s="23"/>
      <x:c r="I130" s="3"/>
      <x:c r="J130" s="19"/>
      <x:c r="K130" s="19"/>
      <x:c r="L130" s="19"/>
    </x:row>
    <x:row r="131" ht="25" customHeight="1">
      <x:c r="A131" s="2"/>
      <x:c r="B131" s="2"/>
      <x:c r="C131" s="32" t="str">
        <x:v>Shared model training GPU hours</x:v>
      </x:c>
      <x:c r="D131" s="16" t="n">
        <x:v>2000</x:v>
      </x:c>
      <x:c r="E131" s="16" t="n">
        <x:v>20000</x:v>
      </x:c>
      <x:c r="F131" s="16" t="n">
        <x:v>60000</x:v>
      </x:c>
      <x:c r="G131" s="16" t="n">
        <x:v>150000</x:v>
      </x:c>
      <x:c r="H131" s="16" t="n">
        <x:v>300000</x:v>
      </x:c>
      <x:c r="I131" s="3"/>
      <x:c r="J131" s="19" t="str">
        <x:v>Total GPU-hours including reruns. Applied tuning of existing licensed models, not foundation-model pretraining. Charged once centrally.</x:v>
      </x:c>
      <x:c r="K131" s="19"/>
      <x:c r="L131" s="19"/>
    </x:row>
    <x:row r="132" ht="25" customHeight="1">
      <x:c r="A132" s="2"/>
      <x:c r="B132" s="2"/>
      <x:c r="C132" s="32"/>
      <x:c r="D132" s="3"/>
      <x:c r="E132" s="3"/>
      <x:c r="F132" s="3"/>
      <x:c r="G132" s="3"/>
      <x:c r="H132" s="3"/>
      <x:c r="I132" s="3"/>
      <x:c r="J132" s="19"/>
      <x:c r="K132" s="19"/>
      <x:c r="L132" s="19"/>
    </x:row>
    <x:row r="133" ht="25" customHeight="1">
      <x:c r="A133" s="2"/>
      <x:c r="B133" s="2"/>
      <x:c r="C133" s="32" t="str">
        <x:v>Purchased data and evaluation budget, EUR</x:v>
      </x:c>
      <x:c r="D133" s="16" t="n">
        <x:v>50000</x:v>
      </x:c>
      <x:c r="E133" s="16" t="n">
        <x:v>150000</x:v>
      </x:c>
      <x:c r="F133" s="16" t="n">
        <x:v>400000</x:v>
      </x:c>
      <x:c r="G133" s="16" t="n">
        <x:v>900000</x:v>
      </x:c>
      <x:c r="H133" s="16" t="n">
        <x:v>1800000</x:v>
      </x:c>
      <x:c r="I133" s="3"/>
      <x:c r="J133" s="19" t="str">
        <x:v>Domain data rights, expert evaluations and benchmark creation. Separate from production inference and product payroll.</x:v>
      </x:c>
      <x:c r="K133" s="19"/>
      <x:c r="L133" s="19"/>
    </x:row>
    <x:row r="134" ht="25" customHeight="1">
      <x:c r="A134" s="2"/>
      <x:c r="B134" s="2"/>
      <x:c r="C134" s="32"/>
      <x:c r="D134" s="3"/>
      <x:c r="E134" s="3"/>
      <x:c r="F134" s="3"/>
      <x:c r="G134" s="3"/>
      <x:c r="H134" s="3"/>
      <x:c r="I134" s="3"/>
      <x:c r="J134" s="19"/>
      <x:c r="K134" s="19"/>
      <x:c r="L134" s="19"/>
    </x:row>
    <x:row r="135" ht="25" customHeight="1">
      <x:c r="A135" s="2"/>
      <x:c r="B135" s="2"/>
      <x:c r="C135" s="32" t="str">
        <x:v>External product specialists, EUR</x:v>
      </x:c>
      <x:c r="D135" s="16" t="n">
        <x:v>60000</x:v>
      </x:c>
      <x:c r="E135" s="16" t="n">
        <x:v>250000</x:v>
      </x:c>
      <x:c r="F135" s="16" t="n">
        <x:v>600000</x:v>
      </x:c>
      <x:c r="G135" s="16" t="n">
        <x:v>1500000</x:v>
      </x:c>
      <x:c r="H135" s="16" t="n">
        <x:v>3000000</x:v>
      </x:c>
      <x:c r="I135" s="3"/>
      <x:c r="J135" s="19" t="str">
        <x:v>Additional research, security and integration specialists. Excludes purchased data and GPU training. All R&amp;D expensed.</x:v>
      </x:c>
      <x:c r="K135" s="19"/>
      <x:c r="L135" s="19"/>
    </x:row>
    <x:row r="136" ht="25" customHeight="1">
      <x:c r="A136" s="2"/>
      <x:c r="B136" s="2"/>
      <x:c r="C136" s="32"/>
      <x:c r="D136" s="3"/>
      <x:c r="E136" s="3"/>
      <x:c r="F136" s="3"/>
      <x:c r="G136" s="3"/>
      <x:c r="H136" s="3"/>
      <x:c r="I136" s="3"/>
      <x:c r="J136" s="19"/>
      <x:c r="K136" s="19"/>
      <x:c r="L136" s="19"/>
    </x:row>
    <x:row r="137" ht="27" customHeight="1">
      <x:c r="A137" s="2"/>
      <x:c r="B137" s="2"/>
      <x:c r="C137" s="61" t="str">
        <x:v>Cost, cash and FX assumptions</x:v>
      </x:c>
      <x:c r="D137" s="15"/>
      <x:c r="E137" s="15"/>
      <x:c r="F137" s="15"/>
      <x:c r="G137" s="15"/>
      <x:c r="H137" s="15"/>
      <x:c r="I137" s="3"/>
      <x:c r="J137" s="3"/>
      <x:c r="K137" s="3"/>
      <x:c r="L137" s="3"/>
    </x:row>
    <x:row r="138" ht="25" customHeight="1">
      <x:c r="A138" s="2"/>
      <x:c r="B138" s="2"/>
      <x:c r="C138" s="32"/>
      <x:c r="D138" s="3"/>
      <x:c r="E138" s="3"/>
      <x:c r="F138" s="3"/>
      <x:c r="G138" s="3"/>
      <x:c r="H138" s="3"/>
      <x:c r="I138" s="3"/>
      <x:c r="J138" s="3"/>
      <x:c r="K138" s="3"/>
      <x:c r="L138" s="3"/>
    </x:row>
    <x:row r="139" ht="25" customHeight="1">
      <x:c r="A139" s="2"/>
      <x:c r="B139" s="2"/>
      <x:c r="C139" s="32" t="str">
        <x:v>External spend per qualified opportunity, EUR</x:v>
      </x:c>
      <x:c r="D139" s="16" t="n">
        <x:v>1500</x:v>
      </x:c>
      <x:c r="E139" s="16" t="n">
        <x:v>1500</x:v>
      </x:c>
      <x:c r="F139" s="16" t="n">
        <x:v>1500</x:v>
      </x:c>
      <x:c r="G139" s="16" t="n">
        <x:v>1500</x:v>
      </x:c>
      <x:c r="H139" s="16" t="n">
        <x:v>1500</x:v>
      </x:c>
      <x:c r="I139" s="3"/>
      <x:c r="J139" s="19" t="str">
        <x:v>Campaigns, events and data. Includes lost opportunities. Sales payroll remains separate.</x:v>
      </x:c>
      <x:c r="K139" s="19"/>
      <x:c r="L139" s="19"/>
    </x:row>
    <x:row r="140" ht="25" customHeight="1">
      <x:c r="A140" s="2"/>
      <x:c r="B140" s="2"/>
      <x:c r="C140" s="32"/>
      <x:c r="D140" s="3"/>
      <x:c r="E140" s="3"/>
      <x:c r="F140" s="3"/>
      <x:c r="G140" s="3"/>
      <x:c r="H140" s="3"/>
      <x:c r="I140" s="3"/>
      <x:c r="J140" s="19"/>
      <x:c r="K140" s="19"/>
      <x:c r="L140" s="19"/>
    </x:row>
    <x:row r="141" ht="25" customHeight="1">
      <x:c r="A141" s="2"/>
      <x:c r="B141" s="2"/>
      <x:c r="C141" s="32" t="str">
        <x:v>Partner fee on partner subscription revenue</x:v>
      </x:c>
      <x:c r="D141" s="22" t="n">
        <x:v>0.2</x:v>
      </x:c>
      <x:c r="E141" s="22" t="n">
        <x:v>0.2</x:v>
      </x:c>
      <x:c r="F141" s="22" t="n">
        <x:v>0.2</x:v>
      </x:c>
      <x:c r="G141" s="22" t="n">
        <x:v>0.2</x:v>
      </x:c>
      <x:c r="H141" s="22" t="n">
        <x:v>0.2</x:v>
      </x:c>
      <x:c r="I141" s="3"/>
      <x:c r="J141" s="19" t="str">
        <x:v>Recurring reseller/referral share; no direct sales commission on the same contract.</x:v>
      </x:c>
      <x:c r="K141" s="19"/>
      <x:c r="L141" s="19"/>
    </x:row>
    <x:row r="142" ht="25" customHeight="1">
      <x:c r="A142" s="2"/>
      <x:c r="B142" s="2"/>
      <x:c r="C142" s="32"/>
      <x:c r="D142" s="23"/>
      <x:c r="E142" s="23"/>
      <x:c r="F142" s="23"/>
      <x:c r="G142" s="23"/>
      <x:c r="H142" s="23"/>
      <x:c r="I142" s="3"/>
      <x:c r="J142" s="19"/>
      <x:c r="K142" s="19"/>
      <x:c r="L142" s="19"/>
    </x:row>
    <x:row r="143" ht="25" customHeight="1">
      <x:c r="A143" s="2"/>
      <x:c r="B143" s="2"/>
      <x:c r="C143" s="32" t="str">
        <x:v>Direct new revenue commission</x:v>
      </x:c>
      <x:c r="D143" s="22" t="n">
        <x:v>0.04</x:v>
      </x:c>
      <x:c r="E143" s="22" t="n">
        <x:v>0.04</x:v>
      </x:c>
      <x:c r="F143" s="22" t="n">
        <x:v>0.04</x:v>
      </x:c>
      <x:c r="G143" s="22" t="n">
        <x:v>0.04</x:v>
      </x:c>
      <x:c r="H143" s="22" t="n">
        <x:v>0.04</x:v>
      </x:c>
      <x:c r="I143" s="3"/>
      <x:c r="J143" s="19" t="str">
        <x:v>Applied to mapping and first-year subscription. Renewal commission is separate.</x:v>
      </x:c>
      <x:c r="K143" s="19"/>
      <x:c r="L143" s="19"/>
    </x:row>
    <x:row r="144" ht="25" customHeight="1">
      <x:c r="A144" s="2"/>
      <x:c r="B144" s="2"/>
      <x:c r="C144" s="32"/>
      <x:c r="D144" s="23"/>
      <x:c r="E144" s="23"/>
      <x:c r="F144" s="23"/>
      <x:c r="G144" s="23"/>
      <x:c r="H144" s="23"/>
      <x:c r="I144" s="3"/>
      <x:c r="J144" s="19"/>
      <x:c r="K144" s="19"/>
      <x:c r="L144" s="19"/>
    </x:row>
    <x:row r="145" ht="25" customHeight="1">
      <x:c r="A145" s="2"/>
      <x:c r="B145" s="2"/>
      <x:c r="C145" s="32" t="str">
        <x:v>Direct renewal commission</x:v>
      </x:c>
      <x:c r="D145" s="22" t="n">
        <x:v>0.02</x:v>
      </x:c>
      <x:c r="E145" s="22" t="n">
        <x:v>0.02</x:v>
      </x:c>
      <x:c r="F145" s="22" t="n">
        <x:v>0.02</x:v>
      </x:c>
      <x:c r="G145" s="22" t="n">
        <x:v>0.02</x:v>
      </x:c>
      <x:c r="H145" s="22" t="n">
        <x:v>0.02</x:v>
      </x:c>
      <x:c r="I145" s="3"/>
      <x:c r="J145" s="19" t="str">
        <x:v>Applied to direct renewals only.</x:v>
      </x:c>
      <x:c r="K145" s="19"/>
      <x:c r="L145" s="19"/>
    </x:row>
    <x:row r="146" ht="25" customHeight="1">
      <x:c r="A146" s="2"/>
      <x:c r="B146" s="2"/>
      <x:c r="C146" s="32"/>
      <x:c r="D146" s="23"/>
      <x:c r="E146" s="23"/>
      <x:c r="F146" s="23"/>
      <x:c r="G146" s="23"/>
      <x:c r="H146" s="23"/>
      <x:c r="I146" s="3"/>
      <x:c r="J146" s="19"/>
      <x:c r="K146" s="19"/>
      <x:c r="L146" s="19"/>
    </x:row>
    <x:row r="147" ht="25" customHeight="1">
      <x:c r="A147" s="2"/>
      <x:c r="B147" s="2"/>
      <x:c r="C147" s="32" t="str">
        <x:v>Annual enablement cost per average partner, EUR</x:v>
      </x:c>
      <x:c r="D147" s="16" t="n">
        <x:v>10000</x:v>
      </x:c>
      <x:c r="E147" s="16" t="n">
        <x:v>10000</x:v>
      </x:c>
      <x:c r="F147" s="16" t="n">
        <x:v>10000</x:v>
      </x:c>
      <x:c r="G147" s="16" t="n">
        <x:v>10000</x:v>
      </x:c>
      <x:c r="H147" s="16" t="n">
        <x:v>10000</x:v>
      </x:c>
      <x:c r="I147" s="3"/>
      <x:c r="J147" s="19" t="str">
        <x:v>Training and support to distribution firms, beyond sales payroll.</x:v>
      </x:c>
      <x:c r="K147" s="19"/>
      <x:c r="L147" s="19"/>
    </x:row>
    <x:row r="148" ht="25" customHeight="1">
      <x:c r="A148" s="2"/>
      <x:c r="B148" s="2"/>
      <x:c r="C148" s="32"/>
      <x:c r="D148" s="3"/>
      <x:c r="E148" s="3"/>
      <x:c r="F148" s="3"/>
      <x:c r="G148" s="3"/>
      <x:c r="H148" s="3"/>
      <x:c r="I148" s="3"/>
      <x:c r="J148" s="19"/>
      <x:c r="K148" s="19"/>
      <x:c r="L148" s="19"/>
    </x:row>
    <x:row r="149" ht="25" customHeight="1">
      <x:c r="A149" s="2"/>
      <x:c r="B149" s="2"/>
      <x:c r="C149" s="32" t="str">
        <x:v>Market entry investment, EUR</x:v>
      </x:c>
      <x:c r="D149" s="16" t="n">
        <x:v>0</x:v>
      </x:c>
      <x:c r="E149" s="16" t="n">
        <x:v>250000</x:v>
      </x:c>
      <x:c r="F149" s="16" t="n">
        <x:v>750000</x:v>
      </x:c>
      <x:c r="G149" s="16" t="n">
        <x:v>2000000</x:v>
      </x:c>
      <x:c r="H149" s="16" t="n">
        <x:v>4000000</x:v>
      </x:c>
      <x:c r="I149" s="3"/>
      <x:c r="J149" s="19" t="str">
        <x:v>Denmark, Nordics and European expansion. Excludes demand-generation budget.</x:v>
      </x:c>
      <x:c r="K149" s="19"/>
      <x:c r="L149" s="19"/>
    </x:row>
    <x:row r="150" ht="25" customHeight="1">
      <x:c r="A150" s="2"/>
      <x:c r="B150" s="2"/>
      <x:c r="C150" s="32"/>
      <x:c r="D150" s="3"/>
      <x:c r="E150" s="3"/>
      <x:c r="F150" s="3"/>
      <x:c r="G150" s="3"/>
      <x:c r="H150" s="3"/>
      <x:c r="I150" s="3"/>
      <x:c r="J150" s="19"/>
      <x:c r="K150" s="19"/>
      <x:c r="L150" s="19"/>
    </x:row>
    <x:row r="151" ht="25" customHeight="1">
      <x:c r="A151" s="2"/>
      <x:c r="B151" s="2"/>
      <x:c r="C151" s="32" t="str">
        <x:v>External delivery cost per hour, EUR</x:v>
      </x:c>
      <x:c r="D151" s="16" t="n">
        <x:v>90</x:v>
      </x:c>
      <x:c r="E151" s="16" t="n">
        <x:v>90</x:v>
      </x:c>
      <x:c r="F151" s="16" t="n">
        <x:v>95</x:v>
      </x:c>
      <x:c r="G151" s="16" t="n">
        <x:v>100</x:v>
      </x:c>
      <x:c r="H151" s="16" t="n">
        <x:v>105</x:v>
      </x:c>
      <x:c r="I151" s="3"/>
      <x:c r="J151" s="19" t="str">
        <x:v>Integration specialists and overflow support. Assumption to validate with suppliers.</x:v>
      </x:c>
      <x:c r="K151" s="19"/>
      <x:c r="L151" s="19"/>
    </x:row>
    <x:row r="152" ht="25" customHeight="1">
      <x:c r="A152" s="2"/>
      <x:c r="B152" s="2"/>
      <x:c r="C152" s="32"/>
      <x:c r="D152" s="3"/>
      <x:c r="E152" s="3"/>
      <x:c r="F152" s="3"/>
      <x:c r="G152" s="3"/>
      <x:c r="H152" s="3"/>
      <x:c r="I152" s="3"/>
      <x:c r="J152" s="19"/>
      <x:c r="K152" s="19"/>
      <x:c r="L152" s="19"/>
    </x:row>
    <x:row r="153" ht="25" customHeight="1">
      <x:c r="A153" s="2"/>
      <x:c r="B153" s="2"/>
      <x:c r="C153" s="32" t="str">
        <x:v>Productive delivery hours / FTE / quarter</x:v>
      </x:c>
      <x:c r="D153" s="16" t="n">
        <x:v>320</x:v>
      </x:c>
      <x:c r="E153" s="16" t="n">
        <x:v>320</x:v>
      </x:c>
      <x:c r="F153" s="16" t="n">
        <x:v>320</x:v>
      </x:c>
      <x:c r="G153" s="16" t="n">
        <x:v>320</x:v>
      </x:c>
      <x:c r="H153" s="16" t="n">
        <x:v>320</x:v>
      </x:c>
      <x:c r="I153" s="3"/>
      <x:c r="J153" s="19" t="str">
        <x:v>Capacity after leave, training, internal work and administration.</x:v>
      </x:c>
      <x:c r="K153" s="19"/>
      <x:c r="L153" s="19"/>
    </x:row>
    <x:row r="154" ht="25" customHeight="1">
      <x:c r="A154" s="2"/>
      <x:c r="B154" s="2"/>
      <x:c r="C154" s="32"/>
      <x:c r="D154" s="3"/>
      <x:c r="E154" s="3"/>
      <x:c r="F154" s="3"/>
      <x:c r="G154" s="3"/>
      <x:c r="H154" s="3"/>
      <x:c r="I154" s="3"/>
      <x:c r="J154" s="19"/>
      <x:c r="K154" s="19"/>
      <x:c r="L154" s="19"/>
    </x:row>
    <x:row r="155" ht="25" customHeight="1">
      <x:c r="A155" s="2"/>
      <x:c r="B155" s="2"/>
      <x:c r="C155" s="32" t="str">
        <x:v>Product loaded salary, EUR</x:v>
      </x:c>
      <x:c r="D155" s="16" t="n">
        <x:v>130000</x:v>
      </x:c>
      <x:c r="E155" s="16" t="n">
        <x:v>133900</x:v>
      </x:c>
      <x:c r="F155" s="16" t="n">
        <x:v>137917</x:v>
      </x:c>
      <x:c r="G155" s="16" t="n">
        <x:v>142054.51</x:v>
      </x:c>
      <x:c r="H155" s="16" t="n">
        <x:v>146316.1453</x:v>
      </x:c>
      <x:c r="I155" s="3"/>
      <x:c r="J155" s="19" t="str">
        <x:v>Annual fixed compensation plus employer costs. 3% annual growth.</x:v>
      </x:c>
      <x:c r="K155" s="19"/>
      <x:c r="L155" s="19"/>
    </x:row>
    <x:row r="156" ht="25" customHeight="1">
      <x:c r="A156" s="2"/>
      <x:c r="B156" s="2"/>
      <x:c r="C156" s="32"/>
      <x:c r="D156" s="3"/>
      <x:c r="E156" s="3"/>
      <x:c r="F156" s="3"/>
      <x:c r="G156" s="3"/>
      <x:c r="H156" s="3"/>
      <x:c r="I156" s="3"/>
      <x:c r="J156" s="19"/>
      <x:c r="K156" s="19"/>
      <x:c r="L156" s="19"/>
    </x:row>
    <x:row r="157" ht="25" customHeight="1">
      <x:c r="A157" s="2"/>
      <x:c r="B157" s="2"/>
      <x:c r="C157" s="32" t="str">
        <x:v>Sales loaded fixed salary, EUR</x:v>
      </x:c>
      <x:c r="D157" s="16" t="n">
        <x:v>100000</x:v>
      </x:c>
      <x:c r="E157" s="16" t="n">
        <x:v>103000</x:v>
      </x:c>
      <x:c r="F157" s="16" t="n">
        <x:v>106090</x:v>
      </x:c>
      <x:c r="G157" s="16" t="n">
        <x:v>109272.7</x:v>
      </x:c>
      <x:c r="H157" s="16" t="n">
        <x:v>112550.88100000001</x:v>
      </x:c>
      <x:c r="I157" s="3"/>
      <x:c r="J157" s="19" t="str">
        <x:v>Annual fixed compensation plus employer costs. 3% annual growth.</x:v>
      </x:c>
      <x:c r="K157" s="19"/>
      <x:c r="L157" s="19"/>
    </x:row>
    <x:row r="158" ht="25" customHeight="1">
      <x:c r="A158" s="2"/>
      <x:c r="B158" s="2"/>
      <x:c r="C158" s="32"/>
      <x:c r="D158" s="3"/>
      <x:c r="E158" s="3"/>
      <x:c r="F158" s="3"/>
      <x:c r="G158" s="3"/>
      <x:c r="H158" s="3"/>
      <x:c r="I158" s="3"/>
      <x:c r="J158" s="19"/>
      <x:c r="K158" s="19"/>
      <x:c r="L158" s="19"/>
    </x:row>
    <x:row r="159" ht="25" customHeight="1">
      <x:c r="A159" s="2"/>
      <x:c r="B159" s="2"/>
      <x:c r="C159" s="32" t="str">
        <x:v>Delivery loaded salary, EUR</x:v>
      </x:c>
      <x:c r="D159" s="16" t="n">
        <x:v>90000</x:v>
      </x:c>
      <x:c r="E159" s="16" t="n">
        <x:v>92700</x:v>
      </x:c>
      <x:c r="F159" s="16" t="n">
        <x:v>95481</x:v>
      </x:c>
      <x:c r="G159" s="16" t="n">
        <x:v>98345.43000000001</x:v>
      </x:c>
      <x:c r="H159" s="16" t="n">
        <x:v>101295.79290000001</x:v>
      </x:c>
      <x:c r="I159" s="3"/>
      <x:c r="J159" s="19" t="str">
        <x:v>Annual fixed compensation plus employer costs. 3% annual growth.</x:v>
      </x:c>
      <x:c r="K159" s="19"/>
      <x:c r="L159" s="19"/>
    </x:row>
    <x:row r="160" ht="25" customHeight="1">
      <x:c r="A160" s="2"/>
      <x:c r="B160" s="2"/>
      <x:c r="C160" s="32"/>
      <x:c r="D160" s="3"/>
      <x:c r="E160" s="3"/>
      <x:c r="F160" s="3"/>
      <x:c r="G160" s="3"/>
      <x:c r="H160" s="3"/>
      <x:c r="I160" s="3"/>
      <x:c r="J160" s="19"/>
      <x:c r="K160" s="19"/>
      <x:c r="L160" s="19"/>
    </x:row>
    <x:row r="161" ht="25" customHeight="1">
      <x:c r="A161" s="2"/>
      <x:c r="B161" s="2"/>
      <x:c r="C161" s="32" t="str">
        <x:v>Leadership/admin loaded salary, EUR</x:v>
      </x:c>
      <x:c r="D161" s="16" t="n">
        <x:v>160000</x:v>
      </x:c>
      <x:c r="E161" s="16" t="n">
        <x:v>164800</x:v>
      </x:c>
      <x:c r="F161" s="16" t="n">
        <x:v>169744</x:v>
      </x:c>
      <x:c r="G161" s="16" t="n">
        <x:v>174836.32</x:v>
      </x:c>
      <x:c r="H161" s="16" t="n">
        <x:v>180081.4096</x:v>
      </x:c>
      <x:c r="I161" s="3"/>
      <x:c r="J161" s="19" t="str">
        <x:v>Annual fixed compensation plus employer costs. 3% annual growth.</x:v>
      </x:c>
      <x:c r="K161" s="19"/>
      <x:c r="L161" s="19"/>
    </x:row>
    <x:row r="162" ht="25" customHeight="1">
      <x:c r="A162" s="2"/>
      <x:c r="B162" s="2"/>
      <x:c r="C162" s="32"/>
      <x:c r="D162" s="3"/>
      <x:c r="E162" s="3"/>
      <x:c r="F162" s="3"/>
      <x:c r="G162" s="3"/>
      <x:c r="H162" s="3"/>
      <x:c r="I162" s="3"/>
      <x:c r="J162" s="19"/>
      <x:c r="K162" s="19"/>
      <x:c r="L162" s="19"/>
    </x:row>
    <x:row r="163" ht="25" customHeight="1">
      <x:c r="A163" s="2"/>
      <x:c r="B163" s="2"/>
      <x:c r="C163" s="32" t="str">
        <x:v>Office and internal software / FTE / year, EUR</x:v>
      </x:c>
      <x:c r="D163" s="16" t="n">
        <x:v>9000</x:v>
      </x:c>
      <x:c r="E163" s="16" t="n">
        <x:v>9000</x:v>
      </x:c>
      <x:c r="F163" s="16" t="n">
        <x:v>9270</x:v>
      </x:c>
      <x:c r="G163" s="16" t="n">
        <x:v>9548</x:v>
      </x:c>
      <x:c r="H163" s="16" t="n">
        <x:v>9835</x:v>
      </x:c>
      <x:c r="I163" s="3"/>
      <x:c r="J163" s="19" t="str">
        <x:v>Internal software, workspace and employee operations. Production infrastructure is separate.</x:v>
      </x:c>
      <x:c r="K163" s="19"/>
      <x:c r="L163" s="19"/>
    </x:row>
    <x:row r="164" ht="25" customHeight="1">
      <x:c r="A164" s="2"/>
      <x:c r="B164" s="2"/>
      <x:c r="C164" s="32"/>
      <x:c r="D164" s="3"/>
      <x:c r="E164" s="3"/>
      <x:c r="F164" s="3"/>
      <x:c r="G164" s="3"/>
      <x:c r="H164" s="3"/>
      <x:c r="I164" s="3"/>
      <x:c r="J164" s="19"/>
      <x:c r="K164" s="19"/>
      <x:c r="L164" s="19"/>
    </x:row>
    <x:row r="165" ht="25" customHeight="1">
      <x:c r="A165" s="2"/>
      <x:c r="B165" s="2"/>
      <x:c r="C165" s="32" t="str">
        <x:v>Recruiting cost / departmental hire, EUR</x:v>
      </x:c>
      <x:c r="D165" s="16" t="n">
        <x:v>10000</x:v>
      </x:c>
      <x:c r="E165" s="16" t="n">
        <x:v>10000</x:v>
      </x:c>
      <x:c r="F165" s="16" t="n">
        <x:v>11000</x:v>
      </x:c>
      <x:c r="G165" s="16" t="n">
        <x:v>12000</x:v>
      </x:c>
      <x:c r="H165" s="16" t="n">
        <x:v>13000</x:v>
      </x:c>
      <x:c r="I165" s="3"/>
      <x:c r="J165" s="19" t="str">
        <x:v>Applied to additions. Employee replacement remains an additional sensitivity.</x:v>
      </x:c>
      <x:c r="K165" s="19"/>
      <x:c r="L165" s="19"/>
    </x:row>
    <x:row r="166" ht="25" customHeight="1">
      <x:c r="A166" s="2"/>
      <x:c r="B166" s="2"/>
      <x:c r="C166" s="32"/>
      <x:c r="D166" s="3"/>
      <x:c r="E166" s="3"/>
      <x:c r="F166" s="3"/>
      <x:c r="G166" s="3"/>
      <x:c r="H166" s="3"/>
      <x:c r="I166" s="3"/>
      <x:c r="J166" s="19"/>
      <x:c r="K166" s="19"/>
      <x:c r="L166" s="19"/>
    </x:row>
    <x:row r="167" ht="25" customHeight="1">
      <x:c r="A167" s="2"/>
      <x:c r="B167" s="2"/>
      <x:c r="C167" s="32" t="str">
        <x:v>External finance, legal and insurance, EUR</x:v>
      </x:c>
      <x:c r="D167" s="16" t="n">
        <x:v>30000</x:v>
      </x:c>
      <x:c r="E167" s="16" t="n">
        <x:v>100000</x:v>
      </x:c>
      <x:c r="F167" s="16" t="n">
        <x:v>250000</x:v>
      </x:c>
      <x:c r="G167" s="16" t="n">
        <x:v>600000</x:v>
      </x:c>
      <x:c r="H167" s="16" t="n">
        <x:v>1200000</x:v>
      </x:c>
      <x:c r="I167" s="3"/>
      <x:c r="J167" s="19" t="str">
        <x:v>Q4-only in 2026. Includes annual assurance and legal budget; security engineering is in product.</x:v>
      </x:c>
      <x:c r="K167" s="19"/>
      <x:c r="L167" s="19"/>
    </x:row>
    <x:row r="168" ht="25" customHeight="1">
      <x:c r="A168" s="2"/>
      <x:c r="B168" s="2"/>
      <x:c r="C168" s="32"/>
      <x:c r="D168" s="3"/>
      <x:c r="E168" s="3"/>
      <x:c r="F168" s="3"/>
      <x:c r="G168" s="3"/>
      <x:c r="H168" s="3"/>
      <x:c r="I168" s="3"/>
      <x:c r="J168" s="19"/>
      <x:c r="K168" s="19"/>
      <x:c r="L168" s="19"/>
    </x:row>
    <x:row r="169" ht="25" customHeight="1">
      <x:c r="A169" s="2"/>
      <x:c r="B169" s="2"/>
      <x:c r="C169" s="32" t="str">
        <x:v>Shared production infrastructure / month, EUR</x:v>
      </x:c>
      <x:c r="D169" s="16" t="n">
        <x:v>1000</x:v>
      </x:c>
      <x:c r="E169" s="16" t="n">
        <x:v>5000</x:v>
      </x:c>
      <x:c r="F169" s="16" t="n">
        <x:v>15000</x:v>
      </x:c>
      <x:c r="G169" s="16" t="n">
        <x:v>40000</x:v>
      </x:c>
      <x:c r="H169" s="16" t="n">
        <x:v>100000</x:v>
      </x:c>
      <x:c r="I169" s="3"/>
      <x:c r="J169" s="19" t="str">
        <x:v>Control plane, observability, backup and incident tooling. Engineering operations payroll remains in product.</x:v>
      </x:c>
      <x:c r="K169" s="19"/>
      <x:c r="L169" s="19"/>
    </x:row>
    <x:row r="170" ht="25" customHeight="1">
      <x:c r="A170" s="2"/>
      <x:c r="B170" s="2"/>
      <x:c r="C170" s="32"/>
      <x:c r="D170" s="3"/>
      <x:c r="E170" s="3"/>
      <x:c r="F170" s="3"/>
      <x:c r="G170" s="3"/>
      <x:c r="H170" s="3"/>
      <x:c r="I170" s="3"/>
      <x:c r="J170" s="19"/>
      <x:c r="K170" s="19"/>
      <x:c r="L170" s="19"/>
    </x:row>
    <x:row r="171" ht="25" customHeight="1">
      <x:c r="A171" s="2"/>
      <x:c r="B171" s="2"/>
      <x:c r="C171" s="32" t="str">
        <x:v>Equipment cost / hire, EUR</x:v>
      </x:c>
      <x:c r="D171" s="16" t="n">
        <x:v>3500</x:v>
      </x:c>
      <x:c r="E171" s="16" t="n">
        <x:v>3500</x:v>
      </x:c>
      <x:c r="F171" s="16" t="n">
        <x:v>3500</x:v>
      </x:c>
      <x:c r="G171" s="16" t="n">
        <x:v>3500</x:v>
      </x:c>
      <x:c r="H171" s="16" t="n">
        <x:v>3500</x:v>
      </x:c>
      <x:c r="I171" s="3"/>
      <x:c r="J171" s="19" t="str">
        <x:v>Three-year straight-line depreciation. Replacement after 12 quarters.</x:v>
      </x:c>
      <x:c r="K171" s="19"/>
      <x:c r="L171" s="19"/>
    </x:row>
    <x:row r="172" ht="25" customHeight="1">
      <x:c r="A172" s="2"/>
      <x:c r="B172" s="2"/>
      <x:c r="C172" s="32"/>
      <x:c r="D172" s="3"/>
      <x:c r="E172" s="3"/>
      <x:c r="F172" s="3"/>
      <x:c r="G172" s="3"/>
      <x:c r="H172" s="3"/>
      <x:c r="I172" s="3"/>
      <x:c r="J172" s="19"/>
      <x:c r="K172" s="19"/>
      <x:c r="L172" s="19"/>
    </x:row>
    <x:row r="173" ht="25" customHeight="1">
      <x:c r="A173" s="2"/>
      <x:c r="B173" s="2"/>
      <x:c r="C173" s="32" t="str">
        <x:v>Share of billings collected next quarter</x:v>
      </x:c>
      <x:c r="D173" s="22" t="n">
        <x:v>0.5</x:v>
      </x:c>
      <x:c r="E173" s="22" t="n">
        <x:v>0.5</x:v>
      </x:c>
      <x:c r="F173" s="22" t="n">
        <x:v>0.5</x:v>
      </x:c>
      <x:c r="G173" s="22" t="n">
        <x:v>0.5</x:v>
      </x:c>
      <x:c r="H173" s="22" t="n">
        <x:v>0.5</x:v>
      </x:c>
      <x:c r="I173" s="3"/>
      <x:c r="J173" s="19" t="str">
        <x:v>Annual advance billing; half received in invoice quarter, remainder next quarter. Before tax and VAT.</x:v>
      </x:c>
      <x:c r="K173" s="19"/>
      <x:c r="L173" s="19"/>
    </x:row>
    <x:row r="174" ht="25" customHeight="1">
      <x:c r="A174" s="2"/>
      <x:c r="B174" s="2"/>
      <x:c r="C174" s="32"/>
      <x:c r="D174" s="23"/>
      <x:c r="E174" s="23"/>
      <x:c r="F174" s="23"/>
      <x:c r="G174" s="23"/>
      <x:c r="H174" s="23"/>
      <x:c r="I174" s="3"/>
      <x:c r="J174" s="19"/>
      <x:c r="K174" s="19"/>
      <x:c r="L174" s="19"/>
    </x:row>
    <x:row r="175" ht="25" customHeight="1">
      <x:c r="A175" s="2"/>
      <x:c r="B175" s="2"/>
      <x:c r="C175" s="32" t="str">
        <x:v>Liquidity reserve, months gross spend</x:v>
      </x:c>
      <x:c r="D175" s="16" t="n">
        <x:v>3</x:v>
      </x:c>
      <x:c r="E175" s="16" t="n">
        <x:v>3</x:v>
      </x:c>
      <x:c r="F175" s="16" t="n">
        <x:v>3</x:v>
      </x:c>
      <x:c r="G175" s="16" t="n">
        <x:v>3</x:v>
      </x:c>
      <x:c r="H175" s="16" t="n">
        <x:v>3</x:v>
      </x:c>
      <x:c r="I175" s="3"/>
      <x:c r="J175" s="19" t="str">
        <x:v>Three-month planning buffer. Bare operating funding need is shown separately. Earlier model used six months.</x:v>
      </x:c>
      <x:c r="K175" s="19"/>
      <x:c r="L175" s="19"/>
    </x:row>
    <x:row r="176" ht="25" customHeight="1">
      <x:c r="A176" s="2"/>
      <x:c r="B176" s="2"/>
      <x:c r="C176" s="32"/>
      <x:c r="D176" s="3"/>
      <x:c r="E176" s="3"/>
      <x:c r="F176" s="3"/>
      <x:c r="G176" s="3"/>
      <x:c r="H176" s="3"/>
      <x:c r="I176" s="3"/>
      <x:c r="J176" s="19"/>
      <x:c r="K176" s="19"/>
      <x:c r="L176" s="19"/>
    </x:row>
    <x:row r="177" ht="25" customHeight="1">
      <x:c r="A177" s="2"/>
      <x:c r="B177" s="2"/>
      <x:c r="C177" s="32" t="str">
        <x:v>Pre-seed reference, EUR</x:v>
      </x:c>
      <x:c r="D177" s="16" t="n">
        <x:v>1000000</x:v>
      </x:c>
      <x:c r="E177" s="16" t="n">
        <x:v>0</x:v>
      </x:c>
      <x:c r="F177" s="16" t="n">
        <x:v>0</x:v>
      </x:c>
      <x:c r="G177" s="16" t="n">
        <x:v>0</x:v>
      </x:c>
      <x:c r="H177" s="16" t="n">
        <x:v>0</x:v>
      </x:c>
      <x:c r="I177" s="3"/>
      <x:c r="J177" s="19" t="str">
        <x:v>Reference only. The Funding sheet is authoritative for all planned rounds.</x:v>
      </x:c>
      <x:c r="K177" s="19"/>
      <x:c r="L177" s="19"/>
    </x:row>
    <x:row r="178" ht="25" customHeight="1">
      <x:c r="A178" s="2"/>
      <x:c r="B178" s="2"/>
      <x:c r="C178" s="32"/>
      <x:c r="D178" s="3"/>
      <x:c r="E178" s="3"/>
      <x:c r="F178" s="3"/>
      <x:c r="G178" s="3"/>
      <x:c r="H178" s="3"/>
      <x:c r="I178" s="3"/>
      <x:c r="J178" s="19"/>
      <x:c r="K178" s="19"/>
      <x:c r="L178" s="19"/>
    </x:row>
    <x:row r="179" ht="25" customHeight="1">
      <x:c r="A179" s="2"/>
      <x:c r="B179" s="2"/>
      <x:c r="C179" s="32" t="str">
        <x:v>Budget DKK per EUR</x:v>
      </x:c>
      <x:c r="D179" s="28" t="n">
        <x:v>7.46038</x:v>
      </x:c>
      <x:c r="E179" s="28" t="n">
        <x:v>7.46038</x:v>
      </x:c>
      <x:c r="F179" s="28" t="n">
        <x:v>7.46038</x:v>
      </x:c>
      <x:c r="G179" s="28" t="n">
        <x:v>7.46038</x:v>
      </x:c>
      <x:c r="H179" s="28" t="n">
        <x:v>7.46038</x:v>
      </x:c>
      <x:c r="I179" s="3"/>
      <x:c r="J179" s="19" t="str">
        <x:v>Same budget FX as v1.0. Not an exchange-rate forecast.</x:v>
      </x:c>
      <x:c r="K179" s="19"/>
      <x:c r="L179" s="19"/>
    </x:row>
    <x:row r="180" ht="25" customHeight="1">
      <x:c r="A180" s="2"/>
      <x:c r="B180" s="2"/>
      <x:c r="C180" s="32"/>
      <x:c r="D180" s="29"/>
      <x:c r="E180" s="29"/>
      <x:c r="F180" s="29"/>
      <x:c r="G180" s="29"/>
      <x:c r="H180" s="29"/>
      <x:c r="I180" s="3"/>
      <x:c r="J180" s="19"/>
      <x:c r="K180" s="19"/>
      <x:c r="L180" s="19"/>
    </x:row>
    <x:row r="181" ht="25" customHeight="1">
      <x:c r="A181" s="2"/>
      <x:c r="B181" s="2"/>
      <x:c r="C181" s="32" t="str">
        <x:v>Budget EUR per USD</x:v>
      </x:c>
      <x:c r="D181" s="30" t="n">
        <x:v>0.87</x:v>
      </x:c>
      <x:c r="E181" s="30" t="n">
        <x:v>0.87</x:v>
      </x:c>
      <x:c r="F181" s="30" t="n">
        <x:v>0.87</x:v>
      </x:c>
      <x:c r="G181" s="30" t="n">
        <x:v>0.87</x:v>
      </x:c>
      <x:c r="H181" s="30" t="n">
        <x:v>0.87</x:v>
      </x:c>
      <x:c r="I181" s="3"/>
      <x:c r="J181" s="19" t="str">
        <x:v>Rounded budget conversion, not spot FX. All vendor USD rates converted at this input.</x:v>
      </x:c>
      <x:c r="K181" s="19"/>
      <x:c r="L181" s="19"/>
    </x:row>
    <x:row r="182" ht="25" customHeight="1">
      <x:c r="A182" s="2"/>
      <x:c r="B182" s="2"/>
      <x:c r="C182" s="32"/>
      <x:c r="D182" s="31"/>
      <x:c r="E182" s="31"/>
      <x:c r="F182" s="31"/>
      <x:c r="G182" s="31"/>
      <x:c r="H182" s="31"/>
      <x:c r="I182" s="3"/>
      <x:c r="J182" s="19"/>
      <x:c r="K182" s="19"/>
      <x:c r="L182" s="19"/>
    </x:row>
    <x:row r="183" ht="25" customHeight="1">
      <x:c r="A183" s="2"/>
      <x:c r="B183" s="2"/>
      <x:c r="C183" s="32"/>
      <x:c r="D183" s="3"/>
      <x:c r="E183" s="3"/>
      <x:c r="F183" s="3"/>
      <x:c r="G183" s="3"/>
      <x:c r="H183" s="3"/>
      <x:c r="I183" s="3"/>
      <x:c r="J183" s="3"/>
      <x:c r="K183" s="3"/>
      <x:c r="L183" s="3"/>
    </x:row>
    <x:row r="184" ht="25" customHeight="1">
      <x:c r="A184" s="2"/>
      <x:c r="B184" s="2"/>
      <x:c r="C184" s="32"/>
      <x:c r="D184" s="3"/>
      <x:c r="E184" s="3"/>
      <x:c r="F184" s="3"/>
      <x:c r="G184" s="3"/>
      <x:c r="H184" s="3"/>
      <x:c r="I184" s="3"/>
      <x:c r="J184" s="3"/>
      <x:c r="K184" s="3"/>
      <x:c r="L184" s="3"/>
    </x:row>
    <x:row r="185" ht="25" customHeight="1">
      <x:c r="A185" s="2"/>
      <x:c r="B185" s="2"/>
      <x:c r="C185" s="32"/>
      <x:c r="D185" s="3"/>
      <x:c r="E185" s="3"/>
      <x:c r="F185" s="3"/>
      <x:c r="G185" s="3"/>
      <x:c r="H185" s="3"/>
      <x:c r="I185" s="3"/>
      <x:c r="J185" s="3"/>
      <x:c r="K185" s="3"/>
      <x:c r="L185" s="3"/>
    </x:row>
    <x:row r="186" ht="25" customHeight="1">
      <x:c r="A186" s="2"/>
      <x:c r="B186" s="2"/>
      <x:c r="C186" s="2"/>
      <x:c r="D186" s="3"/>
      <x:c r="E186" s="3"/>
      <x:c r="F186" s="3"/>
      <x:c r="G186" s="3"/>
      <x:c r="H186" s="3"/>
      <x:c r="I186" s="3"/>
      <x:c r="J186" s="3"/>
      <x:c r="K186" s="3"/>
      <x:c r="L186" s="3"/>
    </x:row>
    <x:row r="187" ht="25" customHeight="1">
      <x:c r="A187" s="2"/>
      <x:c r="B187" s="2"/>
      <x:c r="C187" s="2"/>
      <x:c r="D187" s="3"/>
      <x:c r="E187" s="3"/>
      <x:c r="F187" s="3"/>
      <x:c r="G187" s="3"/>
      <x:c r="H187" s="3"/>
      <x:c r="I187" s="3"/>
      <x:c r="J187" s="3"/>
      <x:c r="K187" s="3"/>
      <x:c r="L187" s="3"/>
    </x:row>
    <x:row r="188" ht="25" customHeight="1">
      <x:c r="A188" s="2"/>
      <x:c r="B188" s="2"/>
      <x:c r="C188" s="2"/>
      <x:c r="D188" s="3"/>
      <x:c r="E188" s="3"/>
      <x:c r="F188" s="3"/>
      <x:c r="G188" s="3"/>
      <x:c r="H188" s="3"/>
      <x:c r="I188" s="3"/>
      <x:c r="J188" s="3"/>
      <x:c r="K188" s="3"/>
      <x:c r="L188" s="3"/>
    </x:row>
    <x:row r="189" ht="25" customHeight="1">
      <x:c r="A189" s="2"/>
      <x:c r="B189" s="2"/>
      <x:c r="C189" s="2"/>
      <x:c r="D189" s="3"/>
      <x:c r="E189" s="3"/>
      <x:c r="F189" s="3"/>
      <x:c r="G189" s="3"/>
      <x:c r="H189" s="3"/>
      <x:c r="I189" s="3"/>
      <x:c r="J189" s="3"/>
      <x:c r="K189" s="3"/>
      <x:c r="L189" s="3"/>
    </x:row>
    <x:row r="190" ht="25" customHeight="1">
      <x:c r="A190" s="2"/>
      <x:c r="B190" s="2"/>
      <x:c r="C190" s="2"/>
      <x:c r="D190" s="3"/>
      <x:c r="E190" s="3"/>
      <x:c r="F190" s="3"/>
      <x:c r="G190" s="3"/>
      <x:c r="H190" s="3"/>
      <x:c r="I190" s="3"/>
      <x:c r="J190" s="3"/>
      <x:c r="K190" s="3"/>
      <x:c r="L190" s="3"/>
    </x:row>
    <x:row r="191" ht="25" customHeight="1">
      <x:c r="A191" s="2"/>
      <x:c r="B191" s="2"/>
      <x:c r="C191" s="2"/>
      <x:c r="D191" s="3"/>
      <x:c r="E191" s="3"/>
      <x:c r="F191" s="3"/>
      <x:c r="G191" s="3"/>
      <x:c r="H191" s="3"/>
      <x:c r="I191" s="3"/>
      <x:c r="J191" s="3"/>
      <x:c r="K191" s="3"/>
      <x:c r="L191" s="3"/>
    </x:row>
    <x:row r="192" ht="25" customHeight="1">
      <x:c r="A192" s="2"/>
      <x:c r="B192" s="2"/>
      <x:c r="C192" s="2"/>
      <x:c r="D192" s="3"/>
      <x:c r="E192" s="3"/>
      <x:c r="F192" s="3"/>
      <x:c r="G192" s="3"/>
      <x:c r="H192" s="3"/>
      <x:c r="I192" s="3"/>
      <x:c r="J192" s="3"/>
      <x:c r="K192" s="3"/>
      <x:c r="L192" s="3"/>
    </x:row>
    <x:row r="193" ht="25" customHeight="1">
      <x:c r="A193" s="2"/>
      <x:c r="B193" s="2"/>
      <x:c r="C193" s="2"/>
      <x:c r="D193" s="3"/>
      <x:c r="E193" s="3"/>
      <x:c r="F193" s="3"/>
      <x:c r="G193" s="3"/>
      <x:c r="H193" s="3"/>
      <x:c r="I193" s="3"/>
      <x:c r="J193" s="3"/>
      <x:c r="K193" s="3"/>
      <x:c r="L193" s="3"/>
    </x:row>
    <x:row r="194" ht="25" customHeight="1">
      <x:c r="A194" s="2"/>
      <x:c r="B194" s="2"/>
      <x:c r="C194" s="2"/>
      <x:c r="D194" s="3"/>
      <x:c r="E194" s="3"/>
      <x:c r="F194" s="3"/>
      <x:c r="G194" s="3"/>
      <x:c r="H194" s="3"/>
      <x:c r="I194" s="3"/>
      <x:c r="J194" s="3"/>
      <x:c r="K194" s="3"/>
      <x:c r="L194" s="3"/>
    </x:row>
    <x:row r="195" ht="25" customHeight="1">
      <x:c r="A195" s="2"/>
      <x:c r="B195" s="2"/>
      <x:c r="C195" s="2"/>
      <x:c r="D195" s="3"/>
      <x:c r="E195" s="3"/>
      <x:c r="F195" s="3"/>
      <x:c r="G195" s="3"/>
      <x:c r="H195" s="3"/>
      <x:c r="I195" s="3"/>
      <x:c r="J195" s="3"/>
      <x:c r="K195" s="3"/>
      <x:c r="L195" s="3"/>
    </x:row>
    <x:row r="196" ht="25" customHeight="1">
      <x:c r="A196" s="2"/>
      <x:c r="B196" s="2"/>
      <x:c r="C196" s="2"/>
      <x:c r="D196" s="3"/>
      <x:c r="E196" s="3"/>
      <x:c r="F196" s="3"/>
      <x:c r="G196" s="3"/>
      <x:c r="H196" s="3"/>
      <x:c r="I196" s="3"/>
      <x:c r="J196" s="3"/>
      <x:c r="K196" s="3"/>
      <x:c r="L196" s="3"/>
    </x:row>
    <x:row r="197" ht="25" customHeight="1">
      <x:c r="A197" s="2"/>
      <x:c r="B197" s="2"/>
      <x:c r="C197" s="2"/>
      <x:c r="D197" s="3"/>
      <x:c r="E197" s="3"/>
      <x:c r="F197" s="3"/>
      <x:c r="G197" s="3"/>
      <x:c r="H197" s="3"/>
      <x:c r="I197" s="3"/>
      <x:c r="J197" s="3"/>
      <x:c r="K197" s="3"/>
      <x:c r="L197" s="3"/>
    </x:row>
    <x:row r="198" ht="25" customHeight="1">
      <x:c r="A198" s="2"/>
      <x:c r="B198" s="2"/>
      <x:c r="C198" s="2"/>
      <x:c r="D198" s="3"/>
      <x:c r="E198" s="3"/>
      <x:c r="F198" s="3"/>
      <x:c r="G198" s="3"/>
      <x:c r="H198" s="3"/>
      <x:c r="I198" s="3"/>
      <x:c r="J198" s="3"/>
      <x:c r="K198" s="3"/>
      <x:c r="L198" s="3"/>
    </x:row>
    <x:row r="199" ht="25" customHeight="1">
      <x:c r="A199" s="2"/>
      <x:c r="B199" s="2"/>
      <x:c r="C199" s="2"/>
      <x:c r="D199" s="3"/>
      <x:c r="E199" s="3"/>
      <x:c r="F199" s="3"/>
      <x:c r="G199" s="3"/>
      <x:c r="H199" s="3"/>
      <x:c r="I199" s="3"/>
      <x:c r="J199" s="3"/>
      <x:c r="K199" s="3"/>
      <x:c r="L199" s="3"/>
    </x:row>
    <x:row r="200" ht="25" customHeight="1">
      <x:c r="A200" s="2"/>
      <x:c r="B200" s="2"/>
      <x:c r="C200" s="2"/>
      <x:c r="D200" s="3"/>
      <x:c r="E200" s="3"/>
      <x:c r="F200" s="3"/>
      <x:c r="G200" s="3"/>
      <x:c r="H200" s="3"/>
      <x:c r="I200" s="3"/>
      <x:c r="J200" s="3"/>
      <x:c r="K200" s="3"/>
      <x:c r="L200" s="3"/>
    </x:row>
    <x:row r="201" ht="25" customHeight="1">
      <x:c r="A201" s="2"/>
      <x:c r="B201" s="2"/>
      <x:c r="C201" s="2"/>
      <x:c r="D201" s="3"/>
      <x:c r="E201" s="3"/>
      <x:c r="F201" s="3"/>
      <x:c r="G201" s="3"/>
      <x:c r="H201" s="3"/>
      <x:c r="I201" s="3"/>
      <x:c r="J201" s="3"/>
      <x:c r="K201" s="3"/>
      <x:c r="L201" s="3"/>
    </x:row>
    <x:row r="202" ht="25" customHeight="1">
      <x:c r="A202" s="2"/>
      <x:c r="B202" s="2"/>
      <x:c r="C202" s="2"/>
      <x:c r="D202" s="3"/>
      <x:c r="E202" s="3"/>
      <x:c r="F202" s="3"/>
      <x:c r="G202" s="3"/>
      <x:c r="H202" s="3"/>
      <x:c r="I202" s="3"/>
      <x:c r="J202" s="3"/>
      <x:c r="K202" s="3"/>
      <x:c r="L202" s="3"/>
    </x:row>
    <x:row r="203" ht="25" customHeight="1">
      <x:c r="A203" s="2"/>
      <x:c r="B203" s="2"/>
      <x:c r="C203" s="2"/>
      <x:c r="D203" s="3"/>
      <x:c r="E203" s="3"/>
      <x:c r="F203" s="3"/>
      <x:c r="G203" s="3"/>
      <x:c r="H203" s="3"/>
      <x:c r="I203" s="3"/>
      <x:c r="J203" s="3"/>
      <x:c r="K203" s="3"/>
      <x:c r="L203" s="3"/>
    </x:row>
    <x:row r="204" ht="25" customHeight="1">
      <x:c r="A204" s="2"/>
      <x:c r="B204" s="2"/>
      <x:c r="C204" s="2"/>
      <x:c r="D204" s="3"/>
      <x:c r="E204" s="3"/>
      <x:c r="F204" s="3"/>
      <x:c r="G204" s="3"/>
      <x:c r="H204" s="3"/>
      <x:c r="I204" s="3"/>
      <x:c r="J204" s="3"/>
      <x:c r="K204" s="3"/>
      <x:c r="L204" s="3"/>
    </x:row>
    <x:row r="205" ht="25" customHeight="1">
      <x:c r="A205" s="2"/>
      <x:c r="B205" s="2"/>
      <x:c r="C205" s="2"/>
      <x:c r="D205" s="3"/>
      <x:c r="E205" s="3"/>
      <x:c r="F205" s="3"/>
      <x:c r="G205" s="3"/>
      <x:c r="H205" s="3"/>
      <x:c r="I205" s="3"/>
      <x:c r="J205" s="3"/>
      <x:c r="K205" s="3"/>
      <x:c r="L205" s="3"/>
    </x:row>
    <x:row r="206" ht="25" customHeight="1">
      <x:c r="A206" s="2"/>
      <x:c r="B206" s="2"/>
      <x:c r="C206" s="2"/>
      <x:c r="D206" s="3"/>
      <x:c r="E206" s="3"/>
      <x:c r="F206" s="3"/>
      <x:c r="G206" s="3"/>
      <x:c r="H206" s="3"/>
      <x:c r="I206" s="3"/>
      <x:c r="J206" s="3"/>
      <x:c r="K206" s="3"/>
      <x:c r="L206" s="3"/>
    </x:row>
    <x:row r="207" ht="25" customHeight="1">
      <x:c r="A207" s="2"/>
      <x:c r="B207" s="2"/>
      <x:c r="C207" s="2"/>
      <x:c r="D207" s="3"/>
      <x:c r="E207" s="3"/>
      <x:c r="F207" s="3"/>
      <x:c r="G207" s="3"/>
      <x:c r="H207" s="3"/>
      <x:c r="I207" s="3"/>
      <x:c r="J207" s="3"/>
      <x:c r="K207" s="3"/>
      <x:c r="L207" s="3"/>
    </x:row>
    <x:row r="208" ht="25" customHeight="1">
      <x:c r="A208" s="2"/>
      <x:c r="B208" s="2"/>
      <x:c r="C208" s="2"/>
      <x:c r="D208" s="3"/>
      <x:c r="E208" s="3"/>
      <x:c r="F208" s="3"/>
      <x:c r="G208" s="3"/>
      <x:c r="H208" s="3"/>
      <x:c r="I208" s="3"/>
      <x:c r="J208" s="3"/>
      <x:c r="K208" s="3"/>
      <x:c r="L208" s="3"/>
    </x:row>
    <x:row r="209" ht="25" customHeight="1">
      <x:c r="A209" s="2"/>
      <x:c r="B209" s="2"/>
      <x:c r="C209" s="2"/>
      <x:c r="D209" s="3"/>
      <x:c r="E209" s="3"/>
      <x:c r="F209" s="3"/>
      <x:c r="G209" s="3"/>
      <x:c r="H209" s="3"/>
      <x:c r="I209" s="3"/>
      <x:c r="J209" s="3"/>
      <x:c r="K209" s="3"/>
      <x:c r="L209" s="3"/>
    </x:row>
    <x:row r="210" ht="25" customHeight="1">
      <x:c r="A210" s="2"/>
      <x:c r="B210" s="2"/>
      <x:c r="C210" s="2"/>
      <x:c r="D210" s="3"/>
      <x:c r="E210" s="3"/>
      <x:c r="F210" s="3"/>
      <x:c r="G210" s="3"/>
      <x:c r="H210" s="3"/>
      <x:c r="I210" s="3"/>
      <x:c r="J210" s="3"/>
      <x:c r="K210" s="3"/>
      <x:c r="L210" s="3"/>
    </x:row>
    <x:row r="211" ht="25" customHeight="1">
      <x:c r="A211" s="2"/>
      <x:c r="B211" s="2"/>
      <x:c r="C211" s="2"/>
      <x:c r="D211" s="3"/>
      <x:c r="E211" s="3"/>
      <x:c r="F211" s="3"/>
      <x:c r="G211" s="3"/>
      <x:c r="H211" s="3"/>
      <x:c r="I211" s="3"/>
      <x:c r="J211" s="3"/>
      <x:c r="K211" s="3"/>
      <x:c r="L211" s="3"/>
    </x:row>
    <x:row r="212" ht="25" customHeight="1">
      <x:c r="A212" s="2"/>
      <x:c r="B212" s="2"/>
      <x:c r="C212" s="2"/>
      <x:c r="D212" s="3"/>
      <x:c r="E212" s="3"/>
      <x:c r="F212" s="3"/>
      <x:c r="G212" s="3"/>
      <x:c r="H212" s="3"/>
      <x:c r="I212" s="3"/>
      <x:c r="J212" s="3"/>
      <x:c r="K212" s="3"/>
      <x:c r="L212" s="3"/>
    </x:row>
    <x:row r="213" ht="25" customHeight="1">
      <x:c r="A213" s="2"/>
      <x:c r="B213" s="2"/>
      <x:c r="C213" s="2"/>
      <x:c r="D213" s="3"/>
      <x:c r="E213" s="3"/>
      <x:c r="F213" s="3"/>
      <x:c r="G213" s="3"/>
      <x:c r="H213" s="3"/>
      <x:c r="I213" s="3"/>
      <x:c r="J213" s="3"/>
      <x:c r="K213" s="3"/>
      <x:c r="L213" s="3"/>
    </x:row>
    <x:row r="214" ht="25" customHeight="1">
      <x:c r="A214" s="2"/>
      <x:c r="B214" s="2"/>
      <x:c r="C214" s="2"/>
      <x:c r="D214" s="3"/>
      <x:c r="E214" s="3"/>
      <x:c r="F214" s="3"/>
      <x:c r="G214" s="3"/>
      <x:c r="H214" s="3"/>
      <x:c r="I214" s="3"/>
      <x:c r="J214" s="3"/>
      <x:c r="K214" s="3"/>
      <x:c r="L214" s="3"/>
    </x:row>
    <x:row r="215" ht="25" customHeight="1">
      <x:c r="A215" s="2"/>
      <x:c r="B215" s="2"/>
      <x:c r="C215" s="2"/>
      <x:c r="D215" s="3"/>
      <x:c r="E215" s="3"/>
      <x:c r="F215" s="3"/>
      <x:c r="G215" s="3"/>
      <x:c r="H215" s="3"/>
      <x:c r="I215" s="3"/>
      <x:c r="J215" s="3"/>
      <x:c r="K215" s="3"/>
      <x:c r="L215" s="3"/>
    </x:row>
    <x:row r="216" ht="25" customHeight="1">
      <x:c r="A216" s="2"/>
      <x:c r="B216" s="2"/>
      <x:c r="C216" s="2"/>
      <x:c r="D216" s="3"/>
      <x:c r="E216" s="3"/>
      <x:c r="F216" s="3"/>
      <x:c r="G216" s="3"/>
      <x:c r="H216" s="3"/>
      <x:c r="I216" s="3"/>
      <x:c r="J216" s="3"/>
      <x:c r="K216" s="3"/>
      <x:c r="L216" s="3"/>
    </x:row>
    <x:row r="217" ht="25" customHeight="1">
      <x:c r="A217" s="2"/>
      <x:c r="B217" s="2"/>
      <x:c r="C217" s="2"/>
      <x:c r="D217" s="3"/>
      <x:c r="E217" s="3"/>
      <x:c r="F217" s="3"/>
      <x:c r="G217" s="3"/>
      <x:c r="H217" s="3"/>
      <x:c r="I217" s="3"/>
      <x:c r="J217" s="3"/>
      <x:c r="K217" s="3"/>
      <x:c r="L217" s="3"/>
    </x:row>
    <x:row r="218" ht="25" customHeight="1">
      <x:c r="A218" s="2"/>
      <x:c r="B218" s="2"/>
      <x:c r="C218" s="2"/>
      <x:c r="D218" s="3"/>
      <x:c r="E218" s="3"/>
      <x:c r="F218" s="3"/>
      <x:c r="G218" s="3"/>
      <x:c r="H218" s="3"/>
      <x:c r="I218" s="3"/>
      <x:c r="J218" s="3"/>
      <x:c r="K218" s="3"/>
      <x:c r="L218" s="3"/>
    </x:row>
    <x:row r="219" ht="25" customHeight="1">
      <x:c r="A219" s="2"/>
      <x:c r="B219" s="2"/>
      <x:c r="C219" s="2"/>
      <x:c r="D219" s="3"/>
      <x:c r="E219" s="3"/>
      <x:c r="F219" s="3"/>
      <x:c r="G219" s="3"/>
      <x:c r="H219" s="3"/>
      <x:c r="I219" s="3"/>
      <x:c r="J219" s="3"/>
      <x:c r="K219" s="3"/>
      <x:c r="L219" s="3"/>
    </x:row>
    <x:row r="220" ht="25" customHeight="1">
      <x:c r="A220" s="2"/>
      <x:c r="B220" s="2"/>
      <x:c r="C220" s="2"/>
      <x:c r="D220" s="3"/>
      <x:c r="E220" s="3"/>
      <x:c r="F220" s="3"/>
      <x:c r="G220" s="3"/>
      <x:c r="H220" s="3"/>
      <x:c r="I220" s="3"/>
      <x:c r="J220" s="3"/>
      <x:c r="K220" s="3"/>
      <x:c r="L220" s="3"/>
    </x:row>
    <x:row r="221" ht="25" customHeight="1">
      <x:c r="A221" s="2"/>
      <x:c r="B221" s="2"/>
      <x:c r="C221" s="2"/>
      <x:c r="D221" s="3"/>
      <x:c r="E221" s="3"/>
      <x:c r="F221" s="3"/>
      <x:c r="G221" s="3"/>
      <x:c r="H221" s="3"/>
      <x:c r="I221" s="3"/>
      <x:c r="J221" s="3"/>
      <x:c r="K221" s="3"/>
      <x:c r="L221" s="3"/>
    </x:row>
    <x:row r="222" ht="25" customHeight="1">
      <x:c r="A222" s="2"/>
      <x:c r="B222" s="2"/>
      <x:c r="C222" s="2"/>
      <x:c r="D222" s="3"/>
      <x:c r="E222" s="3"/>
      <x:c r="F222" s="3"/>
      <x:c r="G222" s="3"/>
      <x:c r="H222" s="3"/>
      <x:c r="I222" s="3"/>
      <x:c r="J222" s="3"/>
      <x:c r="K222" s="3"/>
      <x:c r="L222" s="3"/>
    </x:row>
    <x:row r="223" ht="25" customHeight="1">
      <x:c r="A223" s="2"/>
      <x:c r="B223" s="2"/>
      <x:c r="C223" s="2"/>
      <x:c r="D223" s="3"/>
      <x:c r="E223" s="3"/>
      <x:c r="F223" s="3"/>
      <x:c r="G223" s="3"/>
      <x:c r="H223" s="3"/>
      <x:c r="I223" s="3"/>
      <x:c r="J223" s="3"/>
      <x:c r="K223" s="3"/>
      <x:c r="L223" s="3"/>
    </x:row>
    <x:row r="224" ht="25" customHeight="1">
      <x:c r="A224" s="2"/>
      <x:c r="B224" s="2"/>
      <x:c r="C224" s="2"/>
      <x:c r="D224" s="3"/>
      <x:c r="E224" s="3"/>
      <x:c r="F224" s="3"/>
      <x:c r="G224" s="3"/>
      <x:c r="H224" s="3"/>
      <x:c r="I224" s="3"/>
      <x:c r="J224" s="3"/>
      <x:c r="K224" s="3"/>
      <x:c r="L224" s="3"/>
    </x:row>
    <x:row r="225" ht="25" customHeight="1">
      <x:c r="A225" s="2"/>
      <x:c r="B225" s="2"/>
      <x:c r="C225" s="2"/>
      <x:c r="D225" s="3"/>
      <x:c r="E225" s="3"/>
      <x:c r="F225" s="3"/>
      <x:c r="G225" s="3"/>
      <x:c r="H225" s="3"/>
      <x:c r="I225" s="3"/>
      <x:c r="J225" s="3"/>
      <x:c r="K225" s="3"/>
      <x:c r="L225" s="3"/>
    </x:row>
    <x:row r="226" ht="25" customHeight="1">
      <x:c r="A226" s="2"/>
      <x:c r="B226" s="2"/>
      <x:c r="C226" s="2"/>
      <x:c r="D226" s="3"/>
      <x:c r="E226" s="3"/>
      <x:c r="F226" s="3"/>
      <x:c r="G226" s="3"/>
      <x:c r="H226" s="3"/>
      <x:c r="I226" s="3"/>
      <x:c r="J226" s="3"/>
      <x:c r="K226" s="3"/>
      <x:c r="L226" s="3"/>
    </x:row>
    <x:row r="227" ht="25" customHeight="1">
      <x:c r="A227" s="2"/>
      <x:c r="B227" s="2"/>
      <x:c r="C227" s="2"/>
      <x:c r="D227" s="3"/>
      <x:c r="E227" s="3"/>
      <x:c r="F227" s="3"/>
      <x:c r="G227" s="3"/>
      <x:c r="H227" s="3"/>
      <x:c r="I227" s="3"/>
      <x:c r="J227" s="3"/>
      <x:c r="K227" s="3"/>
      <x:c r="L227" s="3"/>
    </x:row>
    <x:row r="228" ht="25" customHeight="1">
      <x:c r="A228" s="2"/>
      <x:c r="B228" s="2"/>
      <x:c r="C228" s="2"/>
      <x:c r="D228" s="3"/>
      <x:c r="E228" s="3"/>
      <x:c r="F228" s="3"/>
      <x:c r="G228" s="3"/>
      <x:c r="H228" s="3"/>
      <x:c r="I228" s="3"/>
      <x:c r="J228" s="3"/>
      <x:c r="K228" s="3"/>
      <x:c r="L228" s="3"/>
    </x:row>
    <x:row r="229" ht="25" customHeight="1">
      <x:c r="A229" s="2"/>
      <x:c r="B229" s="2"/>
      <x:c r="C229" s="2"/>
      <x:c r="D229" s="3"/>
      <x:c r="E229" s="3"/>
      <x:c r="F229" s="3"/>
      <x:c r="G229" s="3"/>
      <x:c r="H229" s="3"/>
      <x:c r="I229" s="3"/>
      <x:c r="J229" s="3"/>
      <x:c r="K229" s="3"/>
      <x:c r="L229" s="3"/>
    </x:row>
    <x:row r="230" ht="25" customHeight="1">
      <x:c r="A230" s="2"/>
      <x:c r="B230" s="2"/>
      <x:c r="C230" s="2"/>
      <x:c r="D230" s="3"/>
      <x:c r="E230" s="3"/>
      <x:c r="F230" s="3"/>
      <x:c r="G230" s="3"/>
      <x:c r="H230" s="3"/>
      <x:c r="I230" s="3"/>
      <x:c r="J230" s="3"/>
      <x:c r="K230" s="3"/>
      <x:c r="L230" s="3"/>
    </x:row>
    <x:row r="231" ht="25" customHeight="1">
      <x:c r="A231" s="2"/>
      <x:c r="B231" s="2"/>
      <x:c r="C231" s="2"/>
      <x:c r="D231" s="3"/>
      <x:c r="E231" s="3"/>
      <x:c r="F231" s="3"/>
      <x:c r="G231" s="3"/>
      <x:c r="H231" s="3"/>
      <x:c r="I231" s="3"/>
      <x:c r="J231" s="3"/>
      <x:c r="K231" s="3"/>
      <x:c r="L231" s="3"/>
    </x:row>
    <x:row r="232" ht="25" customHeight="1">
      <x:c r="A232" s="2"/>
      <x:c r="B232" s="2"/>
      <x:c r="C232" s="2"/>
      <x:c r="D232" s="3"/>
      <x:c r="E232" s="3"/>
      <x:c r="F232" s="3"/>
      <x:c r="G232" s="3"/>
      <x:c r="H232" s="3"/>
      <x:c r="I232" s="3"/>
      <x:c r="J232" s="3"/>
      <x:c r="K232" s="3"/>
      <x:c r="L232" s="3"/>
    </x:row>
    <x:row r="233" ht="25" customHeight="1">
      <x:c r="A233" s="2"/>
      <x:c r="B233" s="2"/>
      <x:c r="C233" s="2"/>
      <x:c r="D233" s="3"/>
      <x:c r="E233" s="3"/>
      <x:c r="F233" s="3"/>
      <x:c r="G233" s="3"/>
      <x:c r="H233" s="3"/>
      <x:c r="I233" s="3"/>
      <x:c r="J233" s="3"/>
      <x:c r="K233" s="3"/>
      <x:c r="L233" s="3"/>
    </x:row>
    <x:row r="234" ht="25" customHeight="1">
      <x:c r="A234" s="2"/>
      <x:c r="B234" s="2"/>
      <x:c r="C234" s="2"/>
      <x:c r="D234" s="3"/>
      <x:c r="E234" s="3"/>
      <x:c r="F234" s="3"/>
      <x:c r="G234" s="3"/>
      <x:c r="H234" s="3"/>
      <x:c r="I234" s="3"/>
      <x:c r="J234" s="3"/>
      <x:c r="K234" s="3"/>
      <x:c r="L234" s="3"/>
    </x:row>
    <x:row r="235" ht="25" customHeight="1">
      <x:c r="A235" s="2"/>
      <x:c r="B235" s="2"/>
      <x:c r="C235" s="2"/>
      <x:c r="D235" s="3"/>
      <x:c r="E235" s="3"/>
      <x:c r="F235" s="3"/>
      <x:c r="G235" s="3"/>
      <x:c r="H235" s="3"/>
      <x:c r="I235" s="3"/>
      <x:c r="J235" s="3"/>
      <x:c r="K235" s="3"/>
      <x:c r="L235" s="3"/>
    </x:row>
    <x:row r="236" ht="25" customHeight="1">
      <x:c r="A236" s="2"/>
      <x:c r="B236" s="2"/>
      <x:c r="C236" s="2"/>
      <x:c r="D236" s="3"/>
      <x:c r="E236" s="3"/>
      <x:c r="F236" s="3"/>
      <x:c r="G236" s="3"/>
      <x:c r="H236" s="3"/>
      <x:c r="I236" s="3"/>
      <x:c r="J236" s="3"/>
      <x:c r="K236" s="3"/>
      <x:c r="L236" s="3"/>
    </x:row>
    <x:row r="237" ht="25" customHeight="1">
      <x:c r="A237" s="2"/>
      <x:c r="B237" s="2"/>
      <x:c r="C237" s="2"/>
      <x:c r="D237" s="3"/>
      <x:c r="E237" s="3"/>
      <x:c r="F237" s="3"/>
      <x:c r="G237" s="3"/>
      <x:c r="H237" s="3"/>
      <x:c r="I237" s="3"/>
      <x:c r="J237" s="3"/>
      <x:c r="K237" s="3"/>
      <x:c r="L237" s="3"/>
    </x:row>
    <x:row r="238" ht="25" customHeight="1">
      <x:c r="A238" s="2"/>
      <x:c r="B238" s="2"/>
      <x:c r="C238" s="2"/>
      <x:c r="D238" s="3"/>
      <x:c r="E238" s="3"/>
      <x:c r="F238" s="3"/>
      <x:c r="G238" s="3"/>
      <x:c r="H238" s="3"/>
      <x:c r="I238" s="3"/>
      <x:c r="J238" s="3"/>
      <x:c r="K238" s="3"/>
      <x:c r="L238" s="3"/>
    </x:row>
    <x:row r="239" ht="25" customHeight="1">
      <x:c r="A239" s="2"/>
      <x:c r="B239" s="2"/>
      <x:c r="C239" s="2"/>
      <x:c r="D239" s="3"/>
      <x:c r="E239" s="3"/>
      <x:c r="F239" s="3"/>
      <x:c r="G239" s="3"/>
      <x:c r="H239" s="3"/>
      <x:c r="I239" s="3"/>
      <x:c r="J239" s="3"/>
      <x:c r="K239" s="3"/>
      <x:c r="L239" s="3"/>
    </x:row>
    <x:row r="240" ht="25" customHeight="1">
      <x:c r="A240" s="2"/>
      <x:c r="B240" s="2"/>
      <x:c r="C240" s="2"/>
      <x:c r="D240" s="3"/>
      <x:c r="E240" s="3"/>
      <x:c r="F240" s="3"/>
      <x:c r="G240" s="3"/>
      <x:c r="H240" s="3"/>
      <x:c r="I240" s="3"/>
      <x:c r="J240" s="3"/>
      <x:c r="K240" s="3"/>
      <x:c r="L240" s="3"/>
    </x:row>
    <x:row r="241" ht="25" customHeight="1">
      <x:c r="A241" s="2"/>
      <x:c r="B241" s="2"/>
      <x:c r="C241" s="2"/>
      <x:c r="D241" s="3"/>
      <x:c r="E241" s="3"/>
      <x:c r="F241" s="3"/>
      <x:c r="G241" s="3"/>
      <x:c r="H241" s="3"/>
      <x:c r="I241" s="3"/>
      <x:c r="J241" s="3"/>
      <x:c r="K241" s="3"/>
      <x:c r="L241" s="3"/>
    </x:row>
    <x:row r="242" ht="25" customHeight="1">
      <x:c r="A242" s="2"/>
      <x:c r="B242" s="2"/>
      <x:c r="C242" s="2"/>
      <x:c r="D242" s="3"/>
      <x:c r="E242" s="3"/>
      <x:c r="F242" s="3"/>
      <x:c r="G242" s="3"/>
      <x:c r="H242" s="3"/>
      <x:c r="I242" s="3"/>
      <x:c r="J242" s="3"/>
      <x:c r="K242" s="3"/>
      <x:c r="L242" s="3"/>
    </x:row>
    <x:row r="243" ht="25" customHeight="1">
      <x:c r="A243" s="2"/>
      <x:c r="B243" s="2"/>
      <x:c r="C243" s="2"/>
      <x:c r="D243" s="3"/>
      <x:c r="E243" s="3"/>
      <x:c r="F243" s="3"/>
      <x:c r="G243" s="3"/>
      <x:c r="H243" s="3"/>
      <x:c r="I243" s="3"/>
      <x:c r="J243" s="3"/>
      <x:c r="K243" s="3"/>
      <x:c r="L243" s="3"/>
    </x:row>
    <x:row r="244" ht="25" customHeight="1">
      <x:c r="A244" s="2"/>
      <x:c r="B244" s="2"/>
      <x:c r="C244" s="2"/>
      <x:c r="D244" s="3"/>
      <x:c r="E244" s="3"/>
      <x:c r="F244" s="3"/>
      <x:c r="G244" s="3"/>
      <x:c r="H244" s="3"/>
      <x:c r="I244" s="3"/>
      <x:c r="J244" s="3"/>
      <x:c r="K244" s="3"/>
      <x:c r="L244" s="3"/>
    </x:row>
    <x:row r="245" ht="25" customHeight="1">
      <x:c r="A245" s="2"/>
      <x:c r="B245" s="2"/>
      <x:c r="C245" s="2"/>
      <x:c r="D245" s="3"/>
      <x:c r="E245" s="3"/>
      <x:c r="F245" s="3"/>
      <x:c r="G245" s="3"/>
      <x:c r="H245" s="3"/>
      <x:c r="I245" s="3"/>
      <x:c r="J245" s="3"/>
      <x:c r="K245" s="3"/>
      <x:c r="L245" s="3"/>
    </x:row>
    <x:row r="246" ht="25" customHeight="1">
      <x:c r="A246" s="2"/>
      <x:c r="B246" s="2"/>
      <x:c r="C246" s="2"/>
      <x:c r="D246" s="3"/>
      <x:c r="E246" s="3"/>
      <x:c r="F246" s="3"/>
      <x:c r="G246" s="3"/>
      <x:c r="H246" s="3"/>
      <x:c r="I246" s="3"/>
      <x:c r="J246" s="3"/>
      <x:c r="K246" s="3"/>
      <x:c r="L246" s="3"/>
    </x:row>
    <x:row r="247" ht="25" customHeight="1">
      <x:c r="A247" s="2"/>
      <x:c r="B247" s="2"/>
      <x:c r="C247" s="2"/>
      <x:c r="D247" s="3"/>
      <x:c r="E247" s="3"/>
      <x:c r="F247" s="3"/>
      <x:c r="G247" s="3"/>
      <x:c r="H247" s="3"/>
      <x:c r="I247" s="3"/>
      <x:c r="J247" s="3"/>
      <x:c r="K247" s="3"/>
      <x:c r="L247" s="3"/>
    </x:row>
    <x:row r="248" ht="25" customHeight="1">
      <x:c r="A248" s="2"/>
      <x:c r="B248" s="2"/>
      <x:c r="C248" s="2"/>
      <x:c r="D248" s="3"/>
      <x:c r="E248" s="3"/>
      <x:c r="F248" s="3"/>
      <x:c r="G248" s="3"/>
      <x:c r="H248" s="3"/>
      <x:c r="I248" s="3"/>
      <x:c r="J248" s="3"/>
      <x:c r="K248" s="3"/>
      <x:c r="L248" s="3"/>
    </x:row>
    <x:row r="249" ht="25" customHeight="1">
      <x:c r="A249" s="2"/>
      <x:c r="B249" s="2"/>
      <x:c r="C249" s="2"/>
      <x:c r="D249" s="3"/>
      <x:c r="E249" s="3"/>
      <x:c r="F249" s="3"/>
      <x:c r="G249" s="3"/>
      <x:c r="H249" s="3"/>
      <x:c r="I249" s="3"/>
      <x:c r="J249" s="3"/>
      <x:c r="K249" s="3"/>
      <x:c r="L249" s="3"/>
    </x:row>
    <x:row r="250" ht="25" customHeight="1">
      <x:c r="A250" s="2"/>
      <x:c r="B250" s="2"/>
      <x:c r="C250" s="2"/>
      <x:c r="D250" s="3"/>
      <x:c r="E250" s="3"/>
      <x:c r="F250" s="3"/>
      <x:c r="G250" s="3"/>
      <x:c r="H250" s="3"/>
      <x:c r="I250" s="3"/>
      <x:c r="J250" s="3"/>
      <x:c r="K250" s="3"/>
      <x:c r="L250" s="3"/>
    </x:row>
    <x:row r="251" ht="25" customHeight="1">
      <x:c r="A251" s="2"/>
      <x:c r="B251" s="2"/>
      <x:c r="C251" s="2"/>
      <x:c r="D251" s="3"/>
      <x:c r="E251" s="3"/>
      <x:c r="F251" s="3"/>
      <x:c r="G251" s="3"/>
      <x:c r="H251" s="3"/>
      <x:c r="I251" s="3"/>
      <x:c r="J251" s="3"/>
      <x:c r="K251" s="3"/>
      <x:c r="L251" s="3"/>
    </x:row>
    <x:row r="252" ht="25" customHeight="1">
      <x:c r="A252" s="2"/>
      <x:c r="B252" s="2"/>
      <x:c r="C252" s="2"/>
      <x:c r="D252" s="3"/>
      <x:c r="E252" s="3"/>
      <x:c r="F252" s="3"/>
      <x:c r="G252" s="3"/>
      <x:c r="H252" s="3"/>
      <x:c r="I252" s="3"/>
      <x:c r="J252" s="3"/>
      <x:c r="K252" s="3"/>
      <x:c r="L252" s="3"/>
    </x:row>
    <x:row r="253" ht="25" customHeight="1">
      <x:c r="A253" s="2"/>
      <x:c r="B253" s="2"/>
      <x:c r="C253" s="2"/>
      <x:c r="D253" s="3"/>
      <x:c r="E253" s="3"/>
      <x:c r="F253" s="3"/>
      <x:c r="G253" s="3"/>
      <x:c r="H253" s="3"/>
      <x:c r="I253" s="3"/>
      <x:c r="J253" s="3"/>
      <x:c r="K253" s="3"/>
      <x:c r="L253" s="3"/>
    </x:row>
    <x:row r="254" ht="25" customHeight="1">
      <x:c r="A254" s="2"/>
      <x:c r="B254" s="2"/>
      <x:c r="C254" s="2"/>
      <x:c r="D254" s="3"/>
      <x:c r="E254" s="3"/>
      <x:c r="F254" s="3"/>
      <x:c r="G254" s="3"/>
      <x:c r="H254" s="3"/>
      <x:c r="I254" s="3"/>
      <x:c r="J254" s="3"/>
      <x:c r="K254" s="3"/>
      <x:c r="L254" s="3"/>
    </x:row>
    <x:row r="255" ht="25" customHeight="1">
      <x:c r="A255" s="2"/>
      <x:c r="B255" s="2"/>
      <x:c r="C255" s="2"/>
      <x:c r="D255" s="3"/>
      <x:c r="E255" s="3"/>
      <x:c r="F255" s="3"/>
      <x:c r="G255" s="3"/>
      <x:c r="H255" s="3"/>
      <x:c r="I255" s="3"/>
      <x:c r="J255" s="3"/>
      <x:c r="K255" s="3"/>
      <x:c r="L255" s="3"/>
    </x:row>
    <x:row r="256" ht="25" customHeight="1">
      <x:c r="A256" s="2"/>
      <x:c r="B256" s="2"/>
      <x:c r="C256" s="2"/>
      <x:c r="D256" s="3"/>
      <x:c r="E256" s="3"/>
      <x:c r="F256" s="3"/>
      <x:c r="G256" s="3"/>
      <x:c r="H256" s="3"/>
      <x:c r="I256" s="3"/>
      <x:c r="J256" s="3"/>
      <x:c r="K256" s="3"/>
      <x:c r="L256" s="3"/>
    </x:row>
    <x:row r="257" ht="25" customHeight="1">
      <x:c r="A257" s="2"/>
      <x:c r="B257" s="2"/>
      <x:c r="C257" s="2"/>
      <x:c r="D257" s="3"/>
      <x:c r="E257" s="3"/>
      <x:c r="F257" s="3"/>
      <x:c r="G257" s="3"/>
      <x:c r="H257" s="3"/>
      <x:c r="I257" s="3"/>
      <x:c r="J257" s="3"/>
      <x:c r="K257" s="3"/>
      <x:c r="L257" s="3"/>
    </x:row>
    <x:row r="258" ht="25" customHeight="1">
      <x:c r="A258" s="2"/>
      <x:c r="B258" s="2"/>
      <x:c r="C258" s="2"/>
      <x:c r="D258" s="3"/>
      <x:c r="E258" s="3"/>
      <x:c r="F258" s="3"/>
      <x:c r="G258" s="3"/>
      <x:c r="H258" s="3"/>
      <x:c r="I258" s="3"/>
      <x:c r="J258" s="3"/>
      <x:c r="K258" s="3"/>
      <x:c r="L258" s="3"/>
    </x:row>
    <x:row r="259" ht="25" customHeight="1">
      <x:c r="A259" s="2"/>
      <x:c r="B259" s="2"/>
      <x:c r="C259" s="2"/>
      <x:c r="D259" s="3"/>
      <x:c r="E259" s="3"/>
      <x:c r="F259" s="3"/>
      <x:c r="G259" s="3"/>
      <x:c r="H259" s="3"/>
      <x:c r="I259" s="3"/>
      <x:c r="J259" s="3"/>
      <x:c r="K259" s="3"/>
      <x:c r="L259" s="3"/>
    </x:row>
    <x:row r="260" ht="25" customHeight="1">
      <x:c r="A260" s="2"/>
      <x:c r="B260" s="2"/>
      <x:c r="C260" s="2"/>
      <x:c r="D260" s="3"/>
      <x:c r="E260" s="3"/>
      <x:c r="F260" s="3"/>
      <x:c r="G260" s="3"/>
      <x:c r="H260" s="3"/>
      <x:c r="I260" s="3"/>
      <x:c r="J260" s="3"/>
      <x:c r="K260" s="3"/>
      <x:c r="L260" s="3"/>
    </x:row>
    <x:row r="261" ht="25" customHeight="1">
      <x:c r="A261" s="2"/>
      <x:c r="B261" s="2"/>
      <x:c r="C261" s="2"/>
      <x:c r="D261" s="3"/>
      <x:c r="E261" s="3"/>
      <x:c r="F261" s="3"/>
      <x:c r="G261" s="3"/>
      <x:c r="H261" s="3"/>
      <x:c r="I261" s="3"/>
      <x:c r="J261" s="3"/>
      <x:c r="K261" s="3"/>
      <x:c r="L261" s="3"/>
    </x:row>
    <x:row r="262" ht="25" customHeight="1">
      <x:c r="A262" s="2"/>
      <x:c r="B262" s="2"/>
      <x:c r="C262" s="2"/>
      <x:c r="D262" s="3"/>
      <x:c r="E262" s="3"/>
      <x:c r="F262" s="3"/>
      <x:c r="G262" s="3"/>
      <x:c r="H262" s="3"/>
      <x:c r="I262" s="3"/>
      <x:c r="J262" s="3"/>
      <x:c r="K262" s="3"/>
      <x:c r="L262" s="3"/>
    </x:row>
    <x:row r="263" ht="25" customHeight="1">
      <x:c r="A263" s="2"/>
      <x:c r="B263" s="2"/>
      <x:c r="C263" s="2"/>
      <x:c r="D263" s="3"/>
      <x:c r="E263" s="3"/>
      <x:c r="F263" s="3"/>
      <x:c r="G263" s="3"/>
      <x:c r="H263" s="3"/>
      <x:c r="I263" s="3"/>
      <x:c r="J263" s="3"/>
      <x:c r="K263" s="3"/>
      <x:c r="L263" s="3"/>
    </x:row>
    <x:row r="264" ht="25" customHeight="1">
      <x:c r="A264" s="2"/>
      <x:c r="B264" s="2"/>
      <x:c r="C264" s="2"/>
      <x:c r="D264" s="3"/>
      <x:c r="E264" s="3"/>
      <x:c r="F264" s="3"/>
      <x:c r="G264" s="3"/>
      <x:c r="H264" s="3"/>
      <x:c r="I264" s="3"/>
      <x:c r="J264" s="3"/>
      <x:c r="K264" s="3"/>
      <x:c r="L264" s="3"/>
    </x:row>
    <x:row r="265" ht="25" customHeight="1">
      <x:c r="A265" s="2"/>
      <x:c r="B265" s="2"/>
      <x:c r="C265" s="2"/>
      <x:c r="D265" s="3"/>
      <x:c r="E265" s="3"/>
      <x:c r="F265" s="3"/>
      <x:c r="G265" s="3"/>
      <x:c r="H265" s="3"/>
      <x:c r="I265" s="3"/>
      <x:c r="J265" s="3"/>
      <x:c r="K265" s="3"/>
      <x:c r="L265" s="3"/>
    </x:row>
    <x:row r="266" ht="25" customHeight="1">
      <x:c r="A266" s="2"/>
      <x:c r="B266" s="2"/>
      <x:c r="C266" s="2"/>
      <x:c r="D266" s="3"/>
      <x:c r="E266" s="3"/>
      <x:c r="F266" s="3"/>
      <x:c r="G266" s="3"/>
      <x:c r="H266" s="3"/>
      <x:c r="I266" s="3"/>
      <x:c r="J266" s="3"/>
      <x:c r="K266" s="3"/>
      <x:c r="L266" s="3"/>
    </x:row>
    <x:row r="267" ht="25" customHeight="1">
      <x:c r="A267" s="2"/>
      <x:c r="B267" s="2"/>
      <x:c r="C267" s="2"/>
      <x:c r="D267" s="3"/>
      <x:c r="E267" s="3"/>
      <x:c r="F267" s="3"/>
      <x:c r="G267" s="3"/>
      <x:c r="H267" s="3"/>
      <x:c r="I267" s="3"/>
      <x:c r="J267" s="3"/>
      <x:c r="K267" s="3"/>
      <x:c r="L267" s="3"/>
    </x:row>
    <x:row r="268" ht="25" customHeight="1">
      <x:c r="A268" s="2"/>
      <x:c r="B268" s="2"/>
      <x:c r="C268" s="2"/>
      <x:c r="D268" s="3"/>
      <x:c r="E268" s="3"/>
      <x:c r="F268" s="3"/>
      <x:c r="G268" s="3"/>
      <x:c r="H268" s="3"/>
      <x:c r="I268" s="3"/>
      <x:c r="J268" s="3"/>
      <x:c r="K268" s="3"/>
      <x:c r="L268" s="3"/>
    </x:row>
    <x:row r="269" ht="25" customHeight="1">
      <x:c r="A269" s="2"/>
      <x:c r="B269" s="2"/>
      <x:c r="C269" s="2"/>
      <x:c r="D269" s="3"/>
      <x:c r="E269" s="3"/>
      <x:c r="F269" s="3"/>
      <x:c r="G269" s="3"/>
      <x:c r="H269" s="3"/>
      <x:c r="I269" s="3"/>
      <x:c r="J269" s="3"/>
      <x:c r="K269" s="3"/>
      <x:c r="L269" s="3"/>
    </x:row>
    <x:row r="270" ht="25" customHeight="1">
      <x:c r="A270" s="2"/>
      <x:c r="B270" s="2"/>
      <x:c r="C270" s="2"/>
      <x:c r="D270" s="3"/>
      <x:c r="E270" s="3"/>
      <x:c r="F270" s="3"/>
      <x:c r="G270" s="3"/>
      <x:c r="H270" s="3"/>
      <x:c r="I270" s="3"/>
      <x:c r="J270" s="3"/>
      <x:c r="K270" s="3"/>
      <x:c r="L270" s="3"/>
    </x:row>
    <x:row r="271" ht="25" customHeight="1">
      <x:c r="A271" s="2"/>
      <x:c r="B271" s="2"/>
      <x:c r="C271" s="2"/>
      <x:c r="D271" s="3"/>
      <x:c r="E271" s="3"/>
      <x:c r="F271" s="3"/>
      <x:c r="G271" s="3"/>
      <x:c r="H271" s="3"/>
      <x:c r="I271" s="3"/>
      <x:c r="J271" s="3"/>
      <x:c r="K271" s="3"/>
      <x:c r="L271" s="3"/>
    </x:row>
    <x:row r="272" ht="25" customHeight="1">
      <x:c r="A272" s="2"/>
      <x:c r="B272" s="2"/>
      <x:c r="C272" s="2"/>
      <x:c r="D272" s="3"/>
      <x:c r="E272" s="3"/>
      <x:c r="F272" s="3"/>
      <x:c r="G272" s="3"/>
      <x:c r="H272" s="3"/>
      <x:c r="I272" s="3"/>
      <x:c r="J272" s="3"/>
      <x:c r="K272" s="3"/>
      <x:c r="L272" s="3"/>
    </x:row>
    <x:row r="273" ht="25" customHeight="1">
      <x:c r="A273" s="2"/>
      <x:c r="B273" s="2"/>
      <x:c r="C273" s="2"/>
      <x:c r="D273" s="3"/>
      <x:c r="E273" s="3"/>
      <x:c r="F273" s="3"/>
      <x:c r="G273" s="3"/>
      <x:c r="H273" s="3"/>
      <x:c r="I273" s="3"/>
      <x:c r="J273" s="3"/>
      <x:c r="K273" s="3"/>
      <x:c r="L273" s="3"/>
    </x:row>
    <x:row r="274" ht="25" customHeight="1">
      <x:c r="A274" s="2"/>
      <x:c r="B274" s="2"/>
      <x:c r="C274" s="2"/>
      <x:c r="D274" s="3"/>
      <x:c r="E274" s="3"/>
      <x:c r="F274" s="3"/>
      <x:c r="G274" s="3"/>
      <x:c r="H274" s="3"/>
      <x:c r="I274" s="3"/>
      <x:c r="J274" s="3"/>
      <x:c r="K274" s="3"/>
      <x:c r="L274" s="3"/>
    </x:row>
    <x:row r="275" ht="25" customHeight="1">
      <x:c r="A275" s="2"/>
      <x:c r="B275" s="2"/>
      <x:c r="C275" s="2"/>
      <x:c r="D275" s="3"/>
      <x:c r="E275" s="3"/>
      <x:c r="F275" s="3"/>
      <x:c r="G275" s="3"/>
      <x:c r="H275" s="3"/>
      <x:c r="I275" s="3"/>
      <x:c r="J275" s="3"/>
      <x:c r="K275" s="3"/>
      <x:c r="L275" s="3"/>
    </x:row>
    <x:row r="276" ht="25" customHeight="1">
      <x:c r="A276" s="2"/>
      <x:c r="B276" s="2"/>
      <x:c r="C276" s="2"/>
      <x:c r="D276" s="3"/>
      <x:c r="E276" s="3"/>
      <x:c r="F276" s="3"/>
      <x:c r="G276" s="3"/>
      <x:c r="H276" s="3"/>
      <x:c r="I276" s="3"/>
      <x:c r="J276" s="3"/>
      <x:c r="K276" s="3"/>
      <x:c r="L276" s="3"/>
    </x:row>
    <x:row r="277" ht="25" customHeight="1">
      <x:c r="A277" s="2"/>
      <x:c r="B277" s="2"/>
      <x:c r="C277" s="2"/>
      <x:c r="D277" s="3"/>
      <x:c r="E277" s="3"/>
      <x:c r="F277" s="3"/>
      <x:c r="G277" s="3"/>
      <x:c r="H277" s="3"/>
      <x:c r="I277" s="3"/>
      <x:c r="J277" s="3"/>
      <x:c r="K277" s="3"/>
      <x:c r="L277" s="3"/>
    </x:row>
    <x:row r="278" ht="25" customHeight="1">
      <x:c r="A278" s="2"/>
      <x:c r="B278" s="2"/>
      <x:c r="C278" s="2"/>
      <x:c r="D278" s="3"/>
      <x:c r="E278" s="3"/>
      <x:c r="F278" s="3"/>
      <x:c r="G278" s="3"/>
      <x:c r="H278" s="3"/>
      <x:c r="I278" s="3"/>
      <x:c r="J278" s="3"/>
      <x:c r="K278" s="3"/>
      <x:c r="L278" s="3"/>
    </x:row>
    <x:row r="279" ht="25" customHeight="1">
      <x:c r="A279" s="2"/>
      <x:c r="B279" s="2"/>
      <x:c r="C279" s="2"/>
      <x:c r="D279" s="3"/>
      <x:c r="E279" s="3"/>
      <x:c r="F279" s="3"/>
      <x:c r="G279" s="3"/>
      <x:c r="H279" s="3"/>
      <x:c r="I279" s="3"/>
      <x:c r="J279" s="3"/>
      <x:c r="K279" s="3"/>
      <x:c r="L279" s="3"/>
    </x:row>
    <x:row r="280" ht="25" customHeight="1">
      <x:c r="A280" s="2"/>
      <x:c r="B280" s="2"/>
      <x:c r="C280" s="2"/>
      <x:c r="D280" s="3"/>
      <x:c r="E280" s="3"/>
      <x:c r="F280" s="3"/>
      <x:c r="G280" s="3"/>
      <x:c r="H280" s="3"/>
      <x:c r="I280" s="3"/>
      <x:c r="J280" s="3"/>
      <x:c r="K280" s="3"/>
      <x:c r="L280" s="3"/>
    </x:row>
  </x:sheetData>
  <x:mergeCells>
    <x:mergeCell ref="C2:L2"/>
    <x:mergeCell ref="J9:L10"/>
    <x:mergeCell ref="J11:L15"/>
    <x:mergeCell ref="J16:L17"/>
    <x:mergeCell ref="J18:L19"/>
    <x:mergeCell ref="J20:L21"/>
    <x:mergeCell ref="J22:L26"/>
    <x:mergeCell ref="J27:L31"/>
    <x:mergeCell ref="J32:L36"/>
    <x:mergeCell ref="J37:L41"/>
    <x:mergeCell ref="J42:L46"/>
    <x:mergeCell ref="J47:L51"/>
    <x:mergeCell ref="J52:L56"/>
    <x:mergeCell ref="J57:L61"/>
    <x:mergeCell ref="J62:L66"/>
    <x:mergeCell ref="J67:L71"/>
    <x:mergeCell ref="J72:L73"/>
    <x:mergeCell ref="J74:L78"/>
    <x:mergeCell ref="J79:L80"/>
    <x:mergeCell ref="J81:L82"/>
    <x:mergeCell ref="J83:L84"/>
    <x:mergeCell ref="J87:L91"/>
    <x:mergeCell ref="J92:L96"/>
    <x:mergeCell ref="J97:L101"/>
    <x:mergeCell ref="J102:L106"/>
    <x:mergeCell ref="J107:L111"/>
    <x:mergeCell ref="J114:L118"/>
    <x:mergeCell ref="J119:L123"/>
    <x:mergeCell ref="J124:L128"/>
    <x:mergeCell ref="J129:L130"/>
    <x:mergeCell ref="J131:L132"/>
    <x:mergeCell ref="J133:L134"/>
    <x:mergeCell ref="J135:L136"/>
    <x:mergeCell ref="J139:L140"/>
    <x:mergeCell ref="J141:L142"/>
    <x:mergeCell ref="J143:L144"/>
    <x:mergeCell ref="J145:L146"/>
    <x:mergeCell ref="J147:L148"/>
    <x:mergeCell ref="J149:L150"/>
    <x:mergeCell ref="J151:L152"/>
    <x:mergeCell ref="J153:L154"/>
    <x:mergeCell ref="J155:L156"/>
    <x:mergeCell ref="J157:L158"/>
    <x:mergeCell ref="J159:L160"/>
    <x:mergeCell ref="J161:L162"/>
    <x:mergeCell ref="J163:L164"/>
    <x:mergeCell ref="J165:L166"/>
    <x:mergeCell ref="J167:L168"/>
    <x:mergeCell ref="J169:L170"/>
    <x:mergeCell ref="J171:L172"/>
    <x:mergeCell ref="J173:L174"/>
    <x:mergeCell ref="J175:L176"/>
    <x:mergeCell ref="J177:L178"/>
    <x:mergeCell ref="J179:L180"/>
    <x:mergeCell ref="J181:L182"/>
  </x:mergeCells>
  <x:dataValidations count="5">
    <x:dataValidation type="list" sqref="E3">
      <x:formula1>"Base,Downside,Ambition"</x:formula1>
    </x:dataValidation>
    <x:dataValidation type="whole" operator="between" sqref="D43">
      <x:formula1>1</x:formula1>
      <x:formula2>4</x:formula2>
    </x:dataValidation>
    <x:dataValidation type="whole" operator="between" sqref="D44">
      <x:formula1>1</x:formula1>
      <x:formula2>4</x:formula2>
    </x:dataValidation>
    <x:dataValidation type="whole" operator="between" sqref="D45">
      <x:formula1>1</x:formula1>
      <x:formula2>4</x:formula2>
    </x:dataValidation>
    <x:dataValidation type="whole" operator="between" sqref="D72">
      <x:formula1>1</x:formula1>
      <x:formula2>4</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2" hidden="0" customWidth="1"/>
    <x:col min="2" max="2" width="2" hidden="0" customWidth="1"/>
    <x:col min="3" max="3" width="48" hidden="0" customWidth="1"/>
    <x:col min="4" max="4" width="18" hidden="0" customWidth="1"/>
    <x:col min="5" max="5" width="18" hidden="0" customWidth="1"/>
    <x:col min="6" max="6" width="18" hidden="0" customWidth="1"/>
    <x:col min="7" max="7" width="18" hidden="0" customWidth="1"/>
    <x:col min="8" max="8" width="18" hidden="0" customWidth="1"/>
    <x:col min="9" max="9" width="16" hidden="0" customWidth="1"/>
    <x:col min="10" max="10" width="16" hidden="0" customWidth="1"/>
    <x:col min="11" max="11" width="16" hidden="0" customWidth="1"/>
    <x:col min="12" max="12" width="16" hidden="0" customWidth="1"/>
  </x:cols>
  <x:sheetData>
    <x:row r="1" ht="25" customHeight="1">
      <x:c r="A1" s="2"/>
      <x:c r="B1" s="2"/>
      <x:c r="C1" s="2"/>
      <x:c r="D1" s="3"/>
      <x:c r="E1" s="3"/>
      <x:c r="F1" s="3"/>
      <x:c r="G1" s="3"/>
      <x:c r="H1" s="3"/>
      <x:c r="I1" s="3"/>
      <x:c r="J1" s="3"/>
      <x:c r="K1" s="3"/>
      <x:c r="L1" s="3"/>
    </x:row>
    <x:row r="2" ht="34" customHeight="1">
      <x:c r="A2" s="2"/>
      <x:c r="B2" s="2"/>
      <x:c r="C2" s="4" t="str">
        <x:v>Annual subscriptions and marginal volume discounts</x:v>
      </x:c>
      <x:c r="D2" s="3"/>
      <x:c r="E2" s="3"/>
      <x:c r="F2" s="3"/>
      <x:c r="G2" s="3"/>
      <x:c r="H2" s="3"/>
      <x:c r="I2" s="3"/>
      <x:c r="J2" s="3"/>
      <x:c r="K2" s="3"/>
      <x:c r="L2" s="3"/>
    </x:row>
    <x:row r="3" ht="25" customHeight="1">
      <x:c r="A3" s="2"/>
      <x:c r="B3" s="2"/>
      <x:c r="C3" s="2" t="str">
        <x:v>Selected case</x:v>
      </x:c>
      <x:c r="D3" s="52" t="str">
        <x:f>'Inputs'!$E$3</x:f>
        <x:v>Base</x:v>
      </x:c>
      <x:c r="E3" s="3"/>
      <x:c r="F3" s="3"/>
      <x:c r="G3" s="3"/>
      <x:c r="H3" s="3"/>
      <x:c r="I3" s="3"/>
      <x:c r="J3" s="3"/>
      <x:c r="K3" s="3"/>
      <x:c r="L3" s="3"/>
    </x:row>
    <x:row r="4" ht="25" customHeight="1">
      <x:c r="A4" s="2"/>
      <x:c r="B4" s="2"/>
      <x:c r="C4" s="2"/>
      <x:c r="D4" s="3"/>
      <x:c r="E4" s="3"/>
      <x:c r="F4" s="3"/>
      <x:c r="G4" s="3"/>
      <x:c r="H4" s="3"/>
      <x:c r="I4" s="3"/>
      <x:c r="J4" s="3"/>
      <x:c r="K4" s="3"/>
      <x:c r="L4" s="3"/>
    </x:row>
    <x:row r="5" ht="25" customHeight="1">
      <x:c r="A5" s="2"/>
      <x:c r="B5" s="2"/>
      <x:c r="C5" s="2"/>
      <x:c r="D5" s="3"/>
      <x:c r="E5" s="3"/>
      <x:c r="F5" s="3"/>
      <x:c r="G5" s="3"/>
      <x:c r="H5" s="3"/>
      <x:c r="I5" s="3"/>
      <x:c r="J5" s="3"/>
      <x:c r="K5" s="3"/>
      <x:c r="L5" s="3"/>
    </x:row>
    <x:row r="6" ht="25" customHeight="1">
      <x:c r="A6" s="2"/>
      <x:c r="B6" s="2"/>
      <x:c r="C6" s="32"/>
      <x:c r="D6" s="3"/>
      <x:c r="E6" s="3"/>
      <x:c r="F6" s="3"/>
      <x:c r="G6" s="3"/>
      <x:c r="H6" s="3"/>
      <x:c r="I6" s="3"/>
      <x:c r="J6" s="3"/>
      <x:c r="K6" s="3"/>
      <x:c r="L6" s="3"/>
    </x:row>
    <x:row r="7" ht="27" customHeight="1">
      <x:c r="A7" s="2"/>
      <x:c r="B7" s="2"/>
      <x:c r="C7" s="61" t="str">
        <x:v>Marginal annual subscription prices, DKK</x:v>
      </x:c>
      <x:c r="D7" s="15"/>
      <x:c r="E7" s="15"/>
      <x:c r="F7" s="15"/>
      <x:c r="G7" s="15"/>
      <x:c r="H7" s="15"/>
      <x:c r="I7" s="3"/>
      <x:c r="J7" s="3"/>
      <x:c r="K7" s="3"/>
      <x:c r="L7" s="3"/>
    </x:row>
    <x:row r="8" ht="44" customHeight="1">
      <x:c r="A8" s="2"/>
      <x:c r="B8" s="2"/>
      <x:c r="C8" s="32" t="str">
        <x:v>Employee interval</x:v>
      </x:c>
      <x:c r="D8" s="33" t="str">
        <x:v>Employees in band</x:v>
      </x:c>
      <x:c r="E8" s="33" t="str">
        <x:v>Map &amp; Live</x:v>
      </x:c>
      <x:c r="F8" s="33" t="str">
        <x:v>Design &amp; Calibrate</x:v>
      </x:c>
      <x:c r="G8" s="33" t="str">
        <x:v>Connected</x:v>
      </x:c>
      <x:c r="H8" s="33"/>
      <x:c r="I8" s="3"/>
      <x:c r="J8" s="3"/>
      <x:c r="K8" s="3"/>
      <x:c r="L8" s="3"/>
    </x:row>
    <x:row r="9" ht="25" customHeight="1">
      <x:c r="A9" s="2"/>
      <x:c r="B9" s="2"/>
      <x:c r="C9" s="32" t="str">
        <x:v>1–300</x:v>
      </x:c>
      <x:c r="D9" s="16" t="n">
        <x:v>300</x:v>
      </x:c>
      <x:c r="E9" s="16" t="n">
        <x:v>999</x:v>
      </x:c>
      <x:c r="F9" s="16" t="n">
        <x:v>1499</x:v>
      </x:c>
      <x:c r="G9" s="16" t="n">
        <x:v>1999</x:v>
      </x:c>
      <x:c r="H9" s="3"/>
      <x:c r="I9" s="3"/>
      <x:c r="J9" s="3"/>
      <x:c r="K9" s="3"/>
      <x:c r="L9" s="3"/>
    </x:row>
    <x:row r="10" ht="25" customHeight="1">
      <x:c r="A10" s="2"/>
      <x:c r="B10" s="2"/>
      <x:c r="C10" s="32" t="str">
        <x:v>301–1,000</x:v>
      </x:c>
      <x:c r="D10" s="16" t="n">
        <x:v>700</x:v>
      </x:c>
      <x:c r="E10" s="16" t="n">
        <x:v>699</x:v>
      </x:c>
      <x:c r="F10" s="16" t="n">
        <x:v>999</x:v>
      </x:c>
      <x:c r="G10" s="16" t="n">
        <x:v>1299</x:v>
      </x:c>
      <x:c r="H10" s="3"/>
      <x:c r="I10" s="3"/>
      <x:c r="J10" s="3"/>
      <x:c r="K10" s="3"/>
      <x:c r="L10" s="3"/>
    </x:row>
    <x:row r="11" ht="25" customHeight="1">
      <x:c r="A11" s="2"/>
      <x:c r="B11" s="2"/>
      <x:c r="C11" s="32" t="str">
        <x:v>1,001–3,000</x:v>
      </x:c>
      <x:c r="D11" s="16" t="n">
        <x:v>2000</x:v>
      </x:c>
      <x:c r="E11" s="16" t="n">
        <x:v>399</x:v>
      </x:c>
      <x:c r="F11" s="16" t="n">
        <x:v>599</x:v>
      </x:c>
      <x:c r="G11" s="16" t="n">
        <x:v>799</x:v>
      </x:c>
      <x:c r="H11" s="3"/>
      <x:c r="I11" s="3"/>
      <x:c r="J11" s="3"/>
      <x:c r="K11" s="3"/>
      <x:c r="L11" s="3"/>
    </x:row>
    <x:row r="12" ht="25" customHeight="1">
      <x:c r="A12" s="2"/>
      <x:c r="B12" s="2"/>
      <x:c r="C12" s="32" t="str">
        <x:v>3,001+</x:v>
      </x:c>
      <x:c r="D12" s="16" t="str">
        <x:v>Remaining</x:v>
      </x:c>
      <x:c r="E12" s="16" t="n">
        <x:v>299</x:v>
      </x:c>
      <x:c r="F12" s="16" t="n">
        <x:v>449</x:v>
      </x:c>
      <x:c r="G12" s="16" t="n">
        <x:v>599</x:v>
      </x:c>
      <x:c r="H12" s="3"/>
      <x:c r="I12" s="3"/>
      <x:c r="J12" s="3"/>
      <x:c r="K12" s="3"/>
      <x:c r="L12" s="3"/>
    </x:row>
    <x:row r="13" ht="25" customHeight="1">
      <x:c r="A13" s="2"/>
      <x:c r="B13" s="2"/>
      <x:c r="C13" s="32"/>
      <x:c r="D13" s="3"/>
      <x:c r="E13" s="3"/>
      <x:c r="F13" s="3"/>
      <x:c r="G13" s="3"/>
      <x:c r="H13" s="3"/>
      <x:c r="I13" s="3"/>
      <x:c r="J13" s="3"/>
      <x:c r="K13" s="3"/>
      <x:c r="L13" s="3"/>
    </x:row>
    <x:row r="14" ht="25" customHeight="1">
      <x:c r="A14" s="2"/>
      <x:c r="B14" s="2"/>
      <x:c r="C14" s="32"/>
      <x:c r="D14" s="3"/>
      <x:c r="E14" s="3"/>
      <x:c r="F14" s="3"/>
      <x:c r="G14" s="3"/>
      <x:c r="H14" s="3"/>
      <x:c r="I14" s="3"/>
      <x:c r="J14" s="3"/>
      <x:c r="K14" s="3"/>
      <x:c r="L14" s="3"/>
    </x:row>
    <x:row r="15" ht="27" customHeight="1">
      <x:c r="A15" s="2"/>
      <x:c r="B15" s="2"/>
      <x:c r="C15" s="61" t="str">
        <x:v>Whole-company examples. Annual DKK</x:v>
      </x:c>
      <x:c r="D15" s="15"/>
      <x:c r="E15" s="15"/>
      <x:c r="F15" s="15"/>
      <x:c r="G15" s="15"/>
      <x:c r="H15" s="15"/>
      <x:c r="I15" s="3"/>
      <x:c r="J15" s="3"/>
      <x:c r="K15" s="3"/>
      <x:c r="L15" s="3"/>
    </x:row>
    <x:row r="16" ht="44" customHeight="1">
      <x:c r="A16" s="2"/>
      <x:c r="B16" s="2"/>
      <x:c r="C16" s="32" t="str">
        <x:v>Employees</x:v>
      </x:c>
      <x:c r="D16" s="33" t="str">
        <x:v>Map &amp; Live</x:v>
      </x:c>
      <x:c r="E16" s="33" t="str">
        <x:v>Design &amp; Calibrate</x:v>
      </x:c>
      <x:c r="F16" s="33" t="str">
        <x:v>Connected</x:v>
      </x:c>
      <x:c r="G16" s="33" t="str">
        <x:v>Connected per employee</x:v>
      </x:c>
      <x:c r="H16" s="33"/>
      <x:c r="I16" s="3"/>
      <x:c r="J16" s="3"/>
      <x:c r="K16" s="3"/>
      <x:c r="L16" s="3"/>
    </x:row>
    <x:row r="17" ht="25" customHeight="1">
      <x:c r="A17" s="2"/>
      <x:c r="B17" s="2"/>
      <x:c r="C17" s="33" t="n">
        <x:v>100</x:v>
      </x:c>
      <x:c r="D17" s="3" t="n">
        <x:f>MIN(C17,$D$9)*E$9+MAX(0,MIN(C17-$D$9,$D$10))*E$10+MAX(0,MIN(C17-$D$9-$D$10,$D$11))*E$11+MAX(0,C17-$D$9-$D$10-$D$11)*E$12</x:f>
        <x:v>99900</x:v>
      </x:c>
      <x:c r="E17" s="3" t="n">
        <x:f>MIN(C17,$D$9)*F$9+MAX(0,MIN(C17-$D$9,$D$10))*F$10+MAX(0,MIN(C17-$D$9-$D$10,$D$11))*F$11+MAX(0,C17-$D$9-$D$10-$D$11)*F$12</x:f>
        <x:v>149900</x:v>
      </x:c>
      <x:c r="F17" s="3" t="n">
        <x:f>MIN(C17,$D$9)*G$9+MAX(0,MIN(C17-$D$9,$D$10))*G$10+MAX(0,MIN(C17-$D$9-$D$10,$D$11))*G$11+MAX(0,C17-$D$9-$D$10-$D$11)*G$12</x:f>
        <x:v>199900</x:v>
      </x:c>
      <x:c r="G17" s="3" t="n">
        <x:f>F17/C17</x:f>
        <x:v>1999</x:v>
      </x:c>
      <x:c r="H17" s="3"/>
      <x:c r="I17" s="3"/>
      <x:c r="J17" s="3"/>
      <x:c r="K17" s="3"/>
      <x:c r="L17" s="3"/>
    </x:row>
    <x:row r="18" ht="25" customHeight="1">
      <x:c r="A18" s="2"/>
      <x:c r="B18" s="2"/>
      <x:c r="C18" s="33" t="n">
        <x:v>400</x:v>
      </x:c>
      <x:c r="D18" s="3" t="n">
        <x:f>MIN(C18,$D$9)*E$9+MAX(0,MIN(C18-$D$9,$D$10))*E$10+MAX(0,MIN(C18-$D$9-$D$10,$D$11))*E$11+MAX(0,C18-$D$9-$D$10-$D$11)*E$12</x:f>
        <x:v>369600</x:v>
      </x:c>
      <x:c r="E18" s="3" t="n">
        <x:f>MIN(C18,$D$9)*F$9+MAX(0,MIN(C18-$D$9,$D$10))*F$10+MAX(0,MIN(C18-$D$9-$D$10,$D$11))*F$11+MAX(0,C18-$D$9-$D$10-$D$11)*F$12</x:f>
        <x:v>549600</x:v>
      </x:c>
      <x:c r="F18" s="3" t="n">
        <x:f>MIN(C18,$D$9)*G$9+MAX(0,MIN(C18-$D$9,$D$10))*G$10+MAX(0,MIN(C18-$D$9-$D$10,$D$11))*G$11+MAX(0,C18-$D$9-$D$10-$D$11)*G$12</x:f>
        <x:v>729600</x:v>
      </x:c>
      <x:c r="G18" s="3" t="n">
        <x:f>F18/C18</x:f>
        <x:v>1824</x:v>
      </x:c>
      <x:c r="H18" s="3"/>
      <x:c r="I18" s="3"/>
      <x:c r="J18" s="3"/>
      <x:c r="K18" s="3"/>
      <x:c r="L18" s="3"/>
    </x:row>
    <x:row r="19" ht="25" customHeight="1">
      <x:c r="A19" s="2"/>
      <x:c r="B19" s="2"/>
      <x:c r="C19" s="33" t="n">
        <x:v>750</x:v>
      </x:c>
      <x:c r="D19" s="3" t="n">
        <x:f>MIN(C19,$D$9)*E$9+MAX(0,MIN(C19-$D$9,$D$10))*E$10+MAX(0,MIN(C19-$D$9-$D$10,$D$11))*E$11+MAX(0,C19-$D$9-$D$10-$D$11)*E$12</x:f>
        <x:v>614250</x:v>
      </x:c>
      <x:c r="E19" s="3" t="n">
        <x:f>MIN(C19,$D$9)*F$9+MAX(0,MIN(C19-$D$9,$D$10))*F$10+MAX(0,MIN(C19-$D$9-$D$10,$D$11))*F$11+MAX(0,C19-$D$9-$D$10-$D$11)*F$12</x:f>
        <x:v>899250</x:v>
      </x:c>
      <x:c r="F19" s="3" t="n">
        <x:f>MIN(C19,$D$9)*G$9+MAX(0,MIN(C19-$D$9,$D$10))*G$10+MAX(0,MIN(C19-$D$9-$D$10,$D$11))*G$11+MAX(0,C19-$D$9-$D$10-$D$11)*G$12</x:f>
        <x:v>1184250</x:v>
      </x:c>
      <x:c r="G19" s="3" t="n">
        <x:f>F19/C19</x:f>
        <x:v>1579</x:v>
      </x:c>
      <x:c r="H19" s="3"/>
      <x:c r="I19" s="3"/>
      <x:c r="J19" s="3"/>
      <x:c r="K19" s="3"/>
      <x:c r="L19" s="3"/>
    </x:row>
    <x:row r="20" ht="25" customHeight="1">
      <x:c r="A20" s="2"/>
      <x:c r="B20" s="2"/>
      <x:c r="C20" s="33" t="n">
        <x:v>1000</x:v>
      </x:c>
      <x:c r="D20" s="3" t="n">
        <x:f>MIN(C20,$D$9)*E$9+MAX(0,MIN(C20-$D$9,$D$10))*E$10+MAX(0,MIN(C20-$D$9-$D$10,$D$11))*E$11+MAX(0,C20-$D$9-$D$10-$D$11)*E$12</x:f>
        <x:v>789000</x:v>
      </x:c>
      <x:c r="E20" s="3" t="n">
        <x:f>MIN(C20,$D$9)*F$9+MAX(0,MIN(C20-$D$9,$D$10))*F$10+MAX(0,MIN(C20-$D$9-$D$10,$D$11))*F$11+MAX(0,C20-$D$9-$D$10-$D$11)*F$12</x:f>
        <x:v>1149000</x:v>
      </x:c>
      <x:c r="F20" s="3" t="n">
        <x:f>MIN(C20,$D$9)*G$9+MAX(0,MIN(C20-$D$9,$D$10))*G$10+MAX(0,MIN(C20-$D$9-$D$10,$D$11))*G$11+MAX(0,C20-$D$9-$D$10-$D$11)*G$12</x:f>
        <x:v>1509000</x:v>
      </x:c>
      <x:c r="G20" s="3" t="n">
        <x:f>F20/C20</x:f>
        <x:v>1509</x:v>
      </x:c>
      <x:c r="H20" s="3"/>
      <x:c r="I20" s="3"/>
      <x:c r="J20" s="3"/>
      <x:c r="K20" s="3"/>
      <x:c r="L20" s="3"/>
    </x:row>
    <x:row r="21" ht="25" customHeight="1">
      <x:c r="A21" s="2"/>
      <x:c r="B21" s="2"/>
      <x:c r="C21" s="33" t="n">
        <x:v>2000</x:v>
      </x:c>
      <x:c r="D21" s="3" t="n">
        <x:f>MIN(C21,$D$9)*E$9+MAX(0,MIN(C21-$D$9,$D$10))*E$10+MAX(0,MIN(C21-$D$9-$D$10,$D$11))*E$11+MAX(0,C21-$D$9-$D$10-$D$11)*E$12</x:f>
        <x:v>1188000</x:v>
      </x:c>
      <x:c r="E21" s="3" t="n">
        <x:f>MIN(C21,$D$9)*F$9+MAX(0,MIN(C21-$D$9,$D$10))*F$10+MAX(0,MIN(C21-$D$9-$D$10,$D$11))*F$11+MAX(0,C21-$D$9-$D$10-$D$11)*F$12</x:f>
        <x:v>1748000</x:v>
      </x:c>
      <x:c r="F21" s="3" t="n">
        <x:f>MIN(C21,$D$9)*G$9+MAX(0,MIN(C21-$D$9,$D$10))*G$10+MAX(0,MIN(C21-$D$9-$D$10,$D$11))*G$11+MAX(0,C21-$D$9-$D$10-$D$11)*G$12</x:f>
        <x:v>2308000</x:v>
      </x:c>
      <x:c r="G21" s="3" t="n">
        <x:f>F21/C21</x:f>
        <x:v>1154</x:v>
      </x:c>
      <x:c r="H21" s="3"/>
      <x:c r="I21" s="3"/>
      <x:c r="J21" s="3"/>
      <x:c r="K21" s="3"/>
      <x:c r="L21" s="3"/>
    </x:row>
    <x:row r="22" ht="25" customHeight="1">
      <x:c r="A22" s="2"/>
      <x:c r="B22" s="2"/>
      <x:c r="C22" s="33" t="n">
        <x:v>3000</x:v>
      </x:c>
      <x:c r="D22" s="3" t="n">
        <x:f>MIN(C22,$D$9)*E$9+MAX(0,MIN(C22-$D$9,$D$10))*E$10+MAX(0,MIN(C22-$D$9-$D$10,$D$11))*E$11+MAX(0,C22-$D$9-$D$10-$D$11)*E$12</x:f>
        <x:v>1587000</x:v>
      </x:c>
      <x:c r="E22" s="3" t="n">
        <x:f>MIN(C22,$D$9)*F$9+MAX(0,MIN(C22-$D$9,$D$10))*F$10+MAX(0,MIN(C22-$D$9-$D$10,$D$11))*F$11+MAX(0,C22-$D$9-$D$10-$D$11)*F$12</x:f>
        <x:v>2347000</x:v>
      </x:c>
      <x:c r="F22" s="3" t="n">
        <x:f>MIN(C22,$D$9)*G$9+MAX(0,MIN(C22-$D$9,$D$10))*G$10+MAX(0,MIN(C22-$D$9-$D$10,$D$11))*G$11+MAX(0,C22-$D$9-$D$10-$D$11)*G$12</x:f>
        <x:v>3107000</x:v>
      </x:c>
      <x:c r="G22" s="3" t="n">
        <x:f>F22/C22</x:f>
        <x:v>1035.6666666666667</x:v>
      </x:c>
      <x:c r="H22" s="3"/>
      <x:c r="I22" s="3"/>
      <x:c r="J22" s="3"/>
      <x:c r="K22" s="3"/>
      <x:c r="L22" s="3"/>
    </x:row>
    <x:row r="23" ht="25" customHeight="1">
      <x:c r="A23" s="2"/>
      <x:c r="B23" s="2"/>
      <x:c r="C23" s="33" t="n">
        <x:v>5000</x:v>
      </x:c>
      <x:c r="D23" s="3" t="n">
        <x:f>MIN(C23,$D$9)*E$9+MAX(0,MIN(C23-$D$9,$D$10))*E$10+MAX(0,MIN(C23-$D$9-$D$10,$D$11))*E$11+MAX(0,C23-$D$9-$D$10-$D$11)*E$12</x:f>
        <x:v>2185000</x:v>
      </x:c>
      <x:c r="E23" s="3" t="n">
        <x:f>MIN(C23,$D$9)*F$9+MAX(0,MIN(C23-$D$9,$D$10))*F$10+MAX(0,MIN(C23-$D$9-$D$10,$D$11))*F$11+MAX(0,C23-$D$9-$D$10-$D$11)*F$12</x:f>
        <x:v>3245000</x:v>
      </x:c>
      <x:c r="F23" s="3" t="n">
        <x:f>MIN(C23,$D$9)*G$9+MAX(0,MIN(C23-$D$9,$D$10))*G$10+MAX(0,MIN(C23-$D$9-$D$10,$D$11))*G$11+MAX(0,C23-$D$9-$D$10-$D$11)*G$12</x:f>
        <x:v>4305000</x:v>
      </x:c>
      <x:c r="G23" s="3" t="n">
        <x:f>F23/C23</x:f>
        <x:v>861</x:v>
      </x:c>
      <x:c r="H23" s="3"/>
      <x:c r="I23" s="3"/>
      <x:c r="J23" s="3"/>
      <x:c r="K23" s="3"/>
      <x:c r="L23" s="3"/>
    </x:row>
    <x:row r="24" ht="25" customHeight="1">
      <x:c r="A24" s="2"/>
      <x:c r="B24" s="2"/>
      <x:c r="C24" s="32"/>
      <x:c r="D24" s="3"/>
      <x:c r="E24" s="3"/>
      <x:c r="F24" s="3"/>
      <x:c r="G24" s="3"/>
      <x:c r="H24" s="3"/>
      <x:c r="I24" s="3"/>
      <x:c r="J24" s="3"/>
      <x:c r="K24" s="3"/>
      <x:c r="L24" s="3"/>
    </x:row>
    <x:row r="25" ht="25" customHeight="1">
      <x:c r="A25" s="2"/>
      <x:c r="B25" s="2"/>
      <x:c r="C25" s="32"/>
      <x:c r="D25" s="3"/>
      <x:c r="E25" s="3"/>
      <x:c r="F25" s="3"/>
      <x:c r="G25" s="3"/>
      <x:c r="H25" s="3"/>
      <x:c r="I25" s="3"/>
      <x:c r="J25" s="3"/>
      <x:c r="K25" s="3"/>
      <x:c r="L25" s="3"/>
    </x:row>
    <x:row r="26" ht="27" customHeight="1">
      <x:c r="A26" s="2"/>
      <x:c r="B26" s="2"/>
      <x:c r="C26" s="61" t="str">
        <x:v>New customer mix by activation year</x:v>
      </x:c>
      <x:c r="D26" s="15"/>
      <x:c r="E26" s="15"/>
      <x:c r="F26" s="15"/>
      <x:c r="G26" s="15"/>
      <x:c r="H26" s="15"/>
      <x:c r="I26" s="3"/>
      <x:c r="J26" s="3"/>
      <x:c r="K26" s="3"/>
      <x:c r="L26" s="3"/>
    </x:row>
    <x:row r="27" ht="25" customHeight="1">
      <x:c r="A27" s="2"/>
      <x:c r="B27" s="2"/>
      <x:c r="C27" s="63"/>
      <x:c r="D27" s="9" t="str">
        <x:v>2026 Q4</x:v>
      </x:c>
      <x:c r="E27" s="9" t="n">
        <x:v>2027</x:v>
      </x:c>
      <x:c r="F27" s="9" t="n">
        <x:v>2028</x:v>
      </x:c>
      <x:c r="G27" s="9" t="n">
        <x:v>2029</x:v>
      </x:c>
      <x:c r="H27" s="9" t="n">
        <x:v>2030</x:v>
      </x:c>
      <x:c r="I27" s="3"/>
      <x:c r="J27" s="3"/>
      <x:c r="K27" s="3"/>
      <x:c r="L27" s="3"/>
    </x:row>
    <x:row r="28" ht="25" customHeight="1">
      <x:c r="A28" s="2"/>
      <x:c r="B28" s="2"/>
      <x:c r="C28" s="32" t="str">
        <x:v>100 employee organisations</x:v>
      </x:c>
      <x:c r="D28" s="22" t="n">
        <x:v>1</x:v>
      </x:c>
      <x:c r="E28" s="22" t="n">
        <x:v>0.9</x:v>
      </x:c>
      <x:c r="F28" s="22" t="n">
        <x:v>0.8</x:v>
      </x:c>
      <x:c r="G28" s="22" t="n">
        <x:v>0.75</x:v>
      </x:c>
      <x:c r="H28" s="22" t="n">
        <x:v>0.7</x:v>
      </x:c>
      <x:c r="I28" s="3"/>
      <x:c r="J28" s="3"/>
      <x:c r="K28" s="3"/>
      <x:c r="L28" s="3"/>
    </x:row>
    <x:row r="29" ht="25" customHeight="1">
      <x:c r="A29" s="2"/>
      <x:c r="B29" s="2"/>
      <x:c r="C29" s="32" t="str">
        <x:v>750 employee organisations</x:v>
      </x:c>
      <x:c r="D29" s="22" t="n">
        <x:v>0</x:v>
      </x:c>
      <x:c r="E29" s="22" t="n">
        <x:v>0.1</x:v>
      </x:c>
      <x:c r="F29" s="22" t="n">
        <x:v>0.15</x:v>
      </x:c>
      <x:c r="G29" s="22" t="n">
        <x:v>0.2</x:v>
      </x:c>
      <x:c r="H29" s="22" t="n">
        <x:v>0.22</x:v>
      </x:c>
      <x:c r="I29" s="3"/>
      <x:c r="J29" s="3"/>
      <x:c r="K29" s="3"/>
      <x:c r="L29" s="3"/>
    </x:row>
    <x:row r="30" ht="25" customHeight="1">
      <x:c r="A30" s="2"/>
      <x:c r="B30" s="2"/>
      <x:c r="C30" s="32" t="str">
        <x:v>2000 employee organisations</x:v>
      </x:c>
      <x:c r="D30" s="22" t="n">
        <x:v>0</x:v>
      </x:c>
      <x:c r="E30" s="22" t="n">
        <x:v>0</x:v>
      </x:c>
      <x:c r="F30" s="22" t="n">
        <x:v>0.05</x:v>
      </x:c>
      <x:c r="G30" s="22" t="n">
        <x:v>0.05</x:v>
      </x:c>
      <x:c r="H30" s="22" t="n">
        <x:v>0.07</x:v>
      </x:c>
      <x:c r="I30" s="3"/>
      <x:c r="J30" s="3"/>
      <x:c r="K30" s="3"/>
      <x:c r="L30" s="3"/>
    </x:row>
    <x:row r="31" ht="25" customHeight="1">
      <x:c r="A31" s="2"/>
      <x:c r="B31" s="2"/>
      <x:c r="C31" s="32" t="str">
        <x:v>5000 employee organisations</x:v>
      </x:c>
      <x:c r="D31" s="22" t="n">
        <x:v>0</x:v>
      </x:c>
      <x:c r="E31" s="22" t="n">
        <x:v>0</x:v>
      </x:c>
      <x:c r="F31" s="22" t="n">
        <x:v>0</x:v>
      </x:c>
      <x:c r="G31" s="22" t="n">
        <x:v>0</x:v>
      </x:c>
      <x:c r="H31" s="22" t="n">
        <x:v>0.01</x:v>
      </x:c>
      <x:c r="I31" s="3"/>
      <x:c r="J31" s="3"/>
      <x:c r="K31" s="3"/>
      <x:c r="L31" s="3"/>
    </x:row>
    <x:row r="32" ht="25" customHeight="1">
      <x:c r="A32" s="2"/>
      <x:c r="B32" s="2"/>
      <x:c r="C32" s="32" t="str">
        <x:v>Customer mix total</x:v>
      </x:c>
      <x:c r="D32" s="23" t="n">
        <x:f>SUM(D28:D31)</x:f>
        <x:v>1</x:v>
      </x:c>
      <x:c r="E32" s="23" t="n">
        <x:f>SUM(E28:E31)</x:f>
        <x:v>1</x:v>
      </x:c>
      <x:c r="F32" s="23" t="n">
        <x:f>SUM(F28:F31)</x:f>
        <x:v>1</x:v>
      </x:c>
      <x:c r="G32" s="23" t="n">
        <x:f>SUM(G28:G31)</x:f>
        <x:v>1</x:v>
      </x:c>
      <x:c r="H32" s="23" t="n">
        <x:f>SUM(H28:H31)</x:f>
        <x:v>1</x:v>
      </x:c>
      <x:c r="I32" s="3"/>
      <x:c r="J32" s="3"/>
      <x:c r="K32" s="3"/>
      <x:c r="L32" s="3"/>
    </x:row>
    <x:row r="33" ht="25" customHeight="1">
      <x:c r="A33" s="2"/>
      <x:c r="B33" s="2"/>
      <x:c r="C33" s="32"/>
      <x:c r="D33" s="3"/>
      <x:c r="E33" s="3"/>
      <x:c r="F33" s="3"/>
      <x:c r="G33" s="3"/>
      <x:c r="H33" s="3"/>
      <x:c r="I33" s="3"/>
      <x:c r="J33" s="3"/>
      <x:c r="K33" s="3"/>
      <x:c r="L33" s="3"/>
    </x:row>
    <x:row r="34" ht="25" customHeight="1">
      <x:c r="A34" s="2"/>
      <x:c r="B34" s="2"/>
      <x:c r="C34" s="32" t="str">
        <x:v>Average employees in new cohort</x:v>
      </x:c>
      <x:c r="D34" s="3" t="n">
        <x:f>D28*$C$17+D29*$C$19+D30*$C$21+D31*$C$23</x:f>
        <x:v>100</x:v>
      </x:c>
      <x:c r="E34" s="3" t="n">
        <x:f>E28*$C$17+E29*$C$19+E30*$C$21+E31*$C$23</x:f>
        <x:v>165</x:v>
      </x:c>
      <x:c r="F34" s="3" t="n">
        <x:f>F28*$C$17+F29*$C$19+F30*$C$21+F31*$C$23</x:f>
        <x:v>292.5</x:v>
      </x:c>
      <x:c r="G34" s="3" t="n">
        <x:f>G28*$C$17+G29*$C$19+G30*$C$21+G31*$C$23</x:f>
        <x:v>325</x:v>
      </x:c>
      <x:c r="H34" s="3" t="n">
        <x:f>H28*$C$17+H29*$C$19+H30*$C$21+H31*$C$23</x:f>
        <x:v>425</x:v>
      </x:c>
      <x:c r="I34" s="3"/>
      <x:c r="J34" s="3"/>
      <x:c r="K34" s="3"/>
      <x:c r="L34" s="3"/>
    </x:row>
    <x:row r="35" ht="25" customHeight="1">
      <x:c r="A35" s="2"/>
      <x:c r="B35" s="2"/>
      <x:c r="C35" s="32"/>
      <x:c r="D35" s="3"/>
      <x:c r="E35" s="3"/>
      <x:c r="F35" s="3"/>
      <x:c r="G35" s="3"/>
      <x:c r="H35" s="3"/>
      <x:c r="I35" s="3"/>
      <x:c r="J35" s="3"/>
      <x:c r="K35" s="3"/>
      <x:c r="L35" s="3"/>
    </x:row>
    <x:row r="36" ht="25" customHeight="1">
      <x:c r="A36" s="2"/>
      <x:c r="B36" s="2"/>
      <x:c r="C36" s="32" t="str">
        <x:v>Map contract, annual EUR</x:v>
      </x:c>
      <x:c r="D36" s="52" t="n">
        <x:f>(D28*$D$17+D29*$D$19+D30*$D$21+D31*$D$23)/'Inputs'!D179</x:f>
        <x:v>13390.738809551256</x:v>
      </x:c>
      <x:c r="E36" s="52" t="n">
        <x:f>(E28*$D$17+E29*$D$19+E30*$D$21+E31*$D$23)/'Inputs'!E179</x:f>
        <x:v>20285.159737171565</x:v>
      </x:c>
      <x:c r="F36" s="52" t="n">
        <x:f>(F28*$D$17+F29*$D$19+F30*$D$21+F31*$D$23)/'Inputs'!F179</x:f>
        <x:v>31024.894174291392</x:v>
      </x:c>
      <x:c r="G36" s="52" t="n">
        <x:f>(G28*$D$17+G29*$D$19+G30*$D$21+G31*$D$23)/'Inputs'!G179</x:f>
        <x:v>34472.10463810155</x:v>
      </x:c>
      <x:c r="H36" s="52" t="n">
        <x:f>(H28*$D$17+H29*$D$19+H30*$D$21+H31*$D$23)/'Inputs'!H179</x:f>
        <x:v>41562.896259976034</x:v>
      </x:c>
      <x:c r="I36" s="3"/>
      <x:c r="J36" s="3"/>
      <x:c r="K36" s="3"/>
      <x:c r="L36" s="3"/>
    </x:row>
    <x:row r="37" ht="25" customHeight="1">
      <x:c r="A37" s="2"/>
      <x:c r="B37" s="2"/>
      <x:c r="C37" s="32" t="str">
        <x:v>Design contract, annual EUR</x:v>
      </x:c>
      <x:c r="D37" s="52" t="n">
        <x:f>(D28*$E$17+D29*$E$19+D30*$E$21+D31*$E$23)/'Inputs'!D179</x:f>
        <x:v>20092.810285803138</x:v>
      </x:c>
      <x:c r="E37" s="52" t="n">
        <x:f>(E28*$E$17+E29*$E$19+E30*$E$21+E31*$E$23)/'Inputs'!E179</x:f>
        <x:v>30137.20480726183</x:v>
      </x:c>
      <x:c r="F37" s="52" t="n">
        <x:f>(F28*$E$17+F29*$E$19+F30*$E$21+F31*$E$23)/'Inputs'!F179</x:f>
        <x:v>45869.9824941893</x:v>
      </x:c>
      <x:c r="G37" s="52" t="n">
        <x:f>(G28*$E$17+G29*$E$19+G30*$E$21+G31*$E$23)/'Inputs'!G179</x:f>
        <x:v>50892.17975491865</x:v>
      </x:c>
      <x:c r="H37" s="52" t="n">
        <x:f>(H28*$E$17+H29*$E$19+H30*$E$21+H31*$E$23)/'Inputs'!H179</x:f>
        <x:v>61334.007114919084</x:v>
      </x:c>
      <x:c r="I37" s="3"/>
      <x:c r="J37" s="3"/>
      <x:c r="K37" s="3"/>
      <x:c r="L37" s="3"/>
    </x:row>
    <x:row r="38" ht="25" customHeight="1">
      <x:c r="A38" s="2"/>
      <x:c r="B38" s="2"/>
      <x:c r="C38" s="32" t="str">
        <x:v>Connected contract, annual EUR</x:v>
      </x:c>
      <x:c r="D38" s="52" t="n">
        <x:f>(D28*$F$17+D29*$F$19+D30*$F$21+D31*$F$23)/'Inputs'!D179</x:f>
        <x:v>26794.881762055018</x:v>
      </x:c>
      <x:c r="E38" s="52" t="n">
        <x:f>(E28*$F$17+E29*$F$19+E30*$F$21+E31*$F$23)/'Inputs'!E179</x:f>
        <x:v>39989.24987735209</x:v>
      </x:c>
      <x:c r="F38" s="52" t="n">
        <x:f>(F28*$F$17+F29*$F$19+F30*$F$21+F31*$F$23)/'Inputs'!F179</x:f>
        <x:v>60715.07081408722</x:v>
      </x:c>
      <x:c r="G38" s="52" t="n">
        <x:f>(G28*$F$17+G29*$F$19+G30*$F$21+G31*$F$23)/'Inputs'!G179</x:f>
        <x:v>67312.25487173576</x:v>
      </x:c>
      <x:c r="H38" s="52" t="n">
        <x:f>(H28*$F$17+H29*$F$19+H30*$F$21+H31*$F$23)/'Inputs'!H179</x:f>
        <x:v>81105.11796986213</x:v>
      </x:c>
      <x:c r="I38" s="3"/>
      <x:c r="J38" s="3"/>
      <x:c r="K38" s="3"/>
      <x:c r="L38" s="3"/>
    </x:row>
    <x:row r="39" ht="25" customHeight="1">
      <x:c r="A39" s="2"/>
      <x:c r="B39" s="2"/>
      <x:c r="C39" s="32"/>
      <x:c r="D39" s="3"/>
      <x:c r="E39" s="3"/>
      <x:c r="F39" s="3"/>
      <x:c r="G39" s="3"/>
      <x:c r="H39" s="3"/>
      <x:c r="I39" s="3"/>
      <x:c r="J39" s="3"/>
      <x:c r="K39" s="3"/>
      <x:c r="L39" s="3"/>
    </x:row>
    <x:row r="40" ht="25" customHeight="1">
      <x:c r="A40" s="2"/>
      <x:c r="B40" s="2"/>
      <x:c r="C40" s="32"/>
      <x:c r="D40" s="3"/>
      <x:c r="E40" s="3"/>
      <x:c r="F40" s="3"/>
      <x:c r="G40" s="3"/>
      <x:c r="H40" s="3"/>
      <x:c r="I40" s="3"/>
      <x:c r="J40" s="3"/>
      <x:c r="K40" s="3"/>
      <x:c r="L40" s="3"/>
    </x:row>
    <x:row r="41" ht="27" customHeight="1">
      <x:c r="A41" s="2"/>
      <x:c r="B41" s="2"/>
      <x:c r="C41" s="61" t="str">
        <x:v>Phase adoption at annual renewal</x:v>
      </x:c>
      <x:c r="D41" s="15"/>
      <x:c r="E41" s="15"/>
      <x:c r="F41" s="15"/>
      <x:c r="G41" s="15"/>
      <x:c r="H41" s="15"/>
      <x:c r="I41" s="3"/>
      <x:c r="J41" s="3"/>
      <x:c r="K41" s="3"/>
      <x:c r="L41" s="3"/>
    </x:row>
    <x:row r="42" ht="25" customHeight="1">
      <x:c r="A42" s="2"/>
      <x:c r="B42" s="2"/>
      <x:c r="C42" s="32" t="str">
        <x:v>Subscription year</x:v>
      </x:c>
      <x:c r="D42" s="3" t="str">
        <x:v>Map &amp; Live</x:v>
      </x:c>
      <x:c r="E42" s="3" t="str">
        <x:v>Design &amp; Calibrate</x:v>
      </x:c>
      <x:c r="F42" s="3" t="str">
        <x:v>Connected</x:v>
      </x:c>
      <x:c r="G42" s="3" t="str">
        <x:v>Total</x:v>
      </x:c>
      <x:c r="H42" s="3"/>
      <x:c r="I42" s="3"/>
      <x:c r="J42" s="3"/>
      <x:c r="K42" s="3"/>
      <x:c r="L42" s="3"/>
    </x:row>
    <x:row r="43" ht="25" customHeight="1">
      <x:c r="A43" s="2"/>
      <x:c r="B43" s="2"/>
      <x:c r="C43" s="32" t="n">
        <x:v>1</x:v>
      </x:c>
      <x:c r="D43" s="22" t="n">
        <x:v>1</x:v>
      </x:c>
      <x:c r="E43" s="22" t="n">
        <x:v>0</x:v>
      </x:c>
      <x:c r="F43" s="22" t="n">
        <x:v>0</x:v>
      </x:c>
      <x:c r="G43" s="23" t="n">
        <x:f>SUM(D43:F43)</x:f>
        <x:v>1</x:v>
      </x:c>
      <x:c r="H43" s="3"/>
      <x:c r="I43" s="3"/>
      <x:c r="J43" s="3"/>
      <x:c r="K43" s="3"/>
      <x:c r="L43" s="3"/>
    </x:row>
    <x:row r="44" ht="25" customHeight="1">
      <x:c r="A44" s="2"/>
      <x:c r="B44" s="2"/>
      <x:c r="C44" s="32" t="n">
        <x:v>2</x:v>
      </x:c>
      <x:c r="D44" s="22" t="n">
        <x:v>0.6</x:v>
      </x:c>
      <x:c r="E44" s="22" t="n">
        <x:v>0.3</x:v>
      </x:c>
      <x:c r="F44" s="22" t="n">
        <x:v>0.1</x:v>
      </x:c>
      <x:c r="G44" s="23" t="n">
        <x:f>SUM(D44:F44)</x:f>
        <x:v>0.9999999999999999</x:v>
      </x:c>
      <x:c r="H44" s="3"/>
      <x:c r="I44" s="3"/>
      <x:c r="J44" s="3"/>
      <x:c r="K44" s="3"/>
      <x:c r="L44" s="3"/>
    </x:row>
    <x:row r="45" ht="25" customHeight="1">
      <x:c r="A45" s="2"/>
      <x:c r="B45" s="2"/>
      <x:c r="C45" s="32" t="n">
        <x:v>3</x:v>
      </x:c>
      <x:c r="D45" s="22" t="n">
        <x:v>0.35</x:v>
      </x:c>
      <x:c r="E45" s="22" t="n">
        <x:v>0.4</x:v>
      </x:c>
      <x:c r="F45" s="22" t="n">
        <x:v>0.25</x:v>
      </x:c>
      <x:c r="G45" s="23" t="n">
        <x:f>SUM(D45:F45)</x:f>
        <x:v>1</x:v>
      </x:c>
      <x:c r="H45" s="3"/>
      <x:c r="I45" s="3"/>
      <x:c r="J45" s="3"/>
      <x:c r="K45" s="3"/>
      <x:c r="L45" s="3"/>
    </x:row>
    <x:row r="46" ht="25" customHeight="1">
      <x:c r="A46" s="2"/>
      <x:c r="B46" s="2"/>
      <x:c r="C46" s="32" t="n">
        <x:v>4</x:v>
      </x:c>
      <x:c r="D46" s="22" t="n">
        <x:v>0.25</x:v>
      </x:c>
      <x:c r="E46" s="22" t="n">
        <x:v>0.35</x:v>
      </x:c>
      <x:c r="F46" s="22" t="n">
        <x:v>0.4</x:v>
      </x:c>
      <x:c r="G46" s="23" t="n">
        <x:f>SUM(D46:F46)</x:f>
        <x:v>1</x:v>
      </x:c>
      <x:c r="H46" s="3"/>
      <x:c r="I46" s="3"/>
      <x:c r="J46" s="3"/>
      <x:c r="K46" s="3"/>
      <x:c r="L46" s="3"/>
    </x:row>
    <x:row r="47" ht="25" customHeight="1">
      <x:c r="A47" s="2"/>
      <x:c r="B47" s="2"/>
      <x:c r="C47" s="32"/>
      <x:c r="D47" s="3"/>
      <x:c r="E47" s="3"/>
      <x:c r="F47" s="3"/>
      <x:c r="G47" s="3"/>
      <x:c r="H47" s="3"/>
      <x:c r="I47" s="3"/>
      <x:c r="J47" s="3"/>
      <x:c r="K47" s="3"/>
      <x:c r="L47" s="3"/>
    </x:row>
    <x:row r="48" ht="25" customHeight="1">
      <x:c r="A48" s="2"/>
      <x:c r="B48" s="2"/>
      <x:c r="C48" s="32"/>
      <x:c r="D48" s="3"/>
      <x:c r="E48" s="3"/>
      <x:c r="F48" s="3"/>
      <x:c r="G48" s="3"/>
      <x:c r="H48" s="3"/>
      <x:c r="I48" s="3"/>
      <x:c r="J48" s="3"/>
      <x:c r="K48" s="3"/>
      <x:c r="L48" s="3"/>
    </x:row>
    <x:row r="49" ht="42" customHeight="1">
      <x:c r="A49" s="2"/>
      <x:c r="B49" s="2"/>
      <x:c r="C49" s="36" t="str">
        <x:v>Mapping covers the entire organisation and is billed separately. Platform subscription begins on accepted activation. Packages are cumulative. Adoption and prices remain assumptions.</x:v>
      </x:c>
      <x:c r="D49" s="18"/>
      <x:c r="E49" s="18"/>
      <x:c r="F49" s="18"/>
      <x:c r="G49" s="18"/>
      <x:c r="H49" s="18"/>
      <x:c r="I49" s="3"/>
      <x:c r="J49" s="3"/>
      <x:c r="K49" s="3"/>
      <x:c r="L49" s="3"/>
    </x:row>
    <x:row r="50" ht="25" customHeight="1">
      <x:c r="A50" s="2"/>
      <x:c r="B50" s="2"/>
      <x:c r="C50" s="32"/>
      <x:c r="D50" s="3"/>
      <x:c r="E50" s="3"/>
      <x:c r="F50" s="3"/>
      <x:c r="G50" s="3"/>
      <x:c r="H50" s="3"/>
      <x:c r="I50" s="3"/>
      <x:c r="J50" s="3"/>
      <x:c r="K50" s="3"/>
      <x:c r="L50" s="3"/>
    </x:row>
    <x:row r="51" ht="42" customHeight="1">
      <x:c r="A51" s="2"/>
      <x:c r="B51" s="2"/>
      <x:c r="C51" s="36" t="str">
        <x:v>Customer size mix is held fixed within each activation cohort. Subscription prices apply marginal volume bands. Mapping prices below apply to every mapped employee.</x:v>
      </x:c>
      <x:c r="D51" s="18"/>
      <x:c r="E51" s="18"/>
      <x:c r="F51" s="18"/>
      <x:c r="G51" s="18"/>
      <x:c r="H51" s="18"/>
      <x:c r="I51" s="3"/>
      <x:c r="J51" s="3"/>
      <x:c r="K51" s="3"/>
      <x:c r="L51" s="3"/>
    </x:row>
    <x:row r="52" ht="25" customHeight="1">
      <x:c r="A52" s="2"/>
      <x:c r="B52" s="2"/>
      <x:c r="C52" s="32"/>
      <x:c r="D52" s="3"/>
      <x:c r="E52" s="3"/>
      <x:c r="F52" s="3"/>
      <x:c r="G52" s="3"/>
      <x:c r="H52" s="3"/>
      <x:c r="I52" s="3"/>
      <x:c r="J52" s="3"/>
      <x:c r="K52" s="3"/>
      <x:c r="L52" s="3"/>
    </x:row>
    <x:row r="53" ht="25" customHeight="1">
      <x:c r="A53" s="2"/>
      <x:c r="B53" s="2"/>
      <x:c r="C53" s="32"/>
      <x:c r="D53" s="3"/>
      <x:c r="E53" s="3"/>
      <x:c r="F53" s="3"/>
      <x:c r="G53" s="3"/>
      <x:c r="H53" s="3"/>
      <x:c r="I53" s="3"/>
      <x:c r="J53" s="3"/>
      <x:c r="K53" s="3"/>
      <x:c r="L53" s="3"/>
    </x:row>
    <x:row r="54" ht="25" customHeight="1">
      <x:c r="A54" s="2"/>
      <x:c r="B54" s="2"/>
      <x:c r="C54" s="32"/>
      <x:c r="D54" s="3"/>
      <x:c r="E54" s="3"/>
      <x:c r="F54" s="3"/>
      <x:c r="G54" s="3"/>
      <x:c r="H54" s="3"/>
      <x:c r="I54" s="3"/>
      <x:c r="J54" s="3"/>
      <x:c r="K54" s="3"/>
      <x:c r="L54" s="3"/>
    </x:row>
    <x:row r="55" ht="27" customHeight="1">
      <x:c r="A55" s="2"/>
      <x:c r="B55" s="2"/>
      <x:c r="C55" s="61" t="str">
        <x:v>Initial mapping. Marginal one-time prices in DKK</x:v>
      </x:c>
      <x:c r="D55" s="15"/>
      <x:c r="E55" s="15"/>
      <x:c r="F55" s="15"/>
      <x:c r="G55" s="15"/>
      <x:c r="H55" s="15"/>
      <x:c r="I55" s="3"/>
      <x:c r="J55" s="3"/>
      <x:c r="K55" s="3"/>
      <x:c r="L55" s="3"/>
    </x:row>
    <x:row r="56" ht="25" customHeight="1">
      <x:c r="A56" s="2"/>
      <x:c r="B56" s="2"/>
      <x:c r="C56" s="32" t="str">
        <x:v>Employee interval</x:v>
      </x:c>
      <x:c r="D56" s="3" t="str">
        <x:v>Employees in band</x:v>
      </x:c>
      <x:c r="E56" s="3" t="str">
        <x:v>Standard DKK / employee</x:v>
      </x:c>
      <x:c r="F56" s="3"/>
      <x:c r="G56" s="3"/>
      <x:c r="H56" s="3"/>
      <x:c r="I56" s="3"/>
      <x:c r="J56" s="3"/>
      <x:c r="K56" s="3"/>
      <x:c r="L56" s="3"/>
    </x:row>
    <x:row r="57" ht="25" customHeight="1">
      <x:c r="A57" s="2"/>
      <x:c r="B57" s="2"/>
      <x:c r="C57" s="32" t="str">
        <x:v>1–300</x:v>
      </x:c>
      <x:c r="D57" s="16" t="n">
        <x:v>300</x:v>
      </x:c>
      <x:c r="E57" s="16" t="n">
        <x:v>1999</x:v>
      </x:c>
      <x:c r="F57" s="3"/>
      <x:c r="G57" s="3"/>
      <x:c r="H57" s="3"/>
      <x:c r="I57" s="3"/>
      <x:c r="J57" s="3"/>
      <x:c r="K57" s="3"/>
      <x:c r="L57" s="3"/>
    </x:row>
    <x:row r="58" ht="25" customHeight="1">
      <x:c r="A58" s="2"/>
      <x:c r="B58" s="2"/>
      <x:c r="C58" s="32" t="str">
        <x:v>301–1,000</x:v>
      </x:c>
      <x:c r="D58" s="16" t="n">
        <x:v>700</x:v>
      </x:c>
      <x:c r="E58" s="16" t="n">
        <x:v>1499</x:v>
      </x:c>
      <x:c r="F58" s="3"/>
      <x:c r="G58" s="3"/>
      <x:c r="H58" s="3"/>
      <x:c r="I58" s="3"/>
      <x:c r="J58" s="3"/>
      <x:c r="K58" s="3"/>
      <x:c r="L58" s="3"/>
    </x:row>
    <x:row r="59" ht="25" customHeight="1">
      <x:c r="A59" s="2"/>
      <x:c r="B59" s="2"/>
      <x:c r="C59" s="32" t="str">
        <x:v>1,001–3,000</x:v>
      </x:c>
      <x:c r="D59" s="16" t="n">
        <x:v>2000</x:v>
      </x:c>
      <x:c r="E59" s="16" t="n">
        <x:v>999</x:v>
      </x:c>
      <x:c r="F59" s="3"/>
      <x:c r="G59" s="3"/>
      <x:c r="H59" s="3"/>
      <x:c r="I59" s="3"/>
      <x:c r="J59" s="3"/>
      <x:c r="K59" s="3"/>
      <x:c r="L59" s="3"/>
    </x:row>
    <x:row r="60" ht="25" customHeight="1">
      <x:c r="A60" s="2"/>
      <x:c r="B60" s="2"/>
      <x:c r="C60" s="32" t="str">
        <x:v>3,001+</x:v>
      </x:c>
      <x:c r="D60" s="16" t="str">
        <x:v>Remaining</x:v>
      </x:c>
      <x:c r="E60" s="16" t="n">
        <x:v>699</x:v>
      </x:c>
      <x:c r="F60" s="3"/>
      <x:c r="G60" s="3"/>
      <x:c r="H60" s="3"/>
      <x:c r="I60" s="3"/>
      <x:c r="J60" s="3"/>
      <x:c r="K60" s="3"/>
      <x:c r="L60" s="3"/>
    </x:row>
    <x:row r="61" ht="25" customHeight="1">
      <x:c r="A61" s="2"/>
      <x:c r="B61" s="2"/>
      <x:c r="C61" s="32"/>
      <x:c r="D61" s="3"/>
      <x:c r="E61" s="3"/>
      <x:c r="F61" s="3"/>
      <x:c r="G61" s="3"/>
      <x:c r="H61" s="3"/>
      <x:c r="I61" s="3"/>
      <x:c r="J61" s="3"/>
      <x:c r="K61" s="3"/>
      <x:c r="L61" s="3"/>
    </x:row>
    <x:row r="62" ht="25" customHeight="1">
      <x:c r="A62" s="2"/>
      <x:c r="B62" s="2"/>
      <x:c r="C62" s="32" t="str">
        <x:v>Offer</x:v>
      </x:c>
      <x:c r="D62" s="3" t="str">
        <x:v>Customer slots</x:v>
      </x:c>
      <x:c r="E62" s="3" t="str">
        <x:v>Discount</x:v>
      </x:c>
      <x:c r="F62" s="3"/>
      <x:c r="G62" s="3"/>
      <x:c r="H62" s="3"/>
      <x:c r="I62" s="3"/>
      <x:c r="J62" s="3"/>
      <x:c r="K62" s="3"/>
      <x:c r="L62" s="3"/>
    </x:row>
    <x:row r="63" ht="25" customHeight="1">
      <x:c r="A63" s="2"/>
      <x:c r="B63" s="2"/>
      <x:c r="C63" s="32" t="str">
        <x:v>Design partners</x:v>
      </x:c>
      <x:c r="D63" s="16" t="n">
        <x:v>5</x:v>
      </x:c>
      <x:c r="E63" s="22" t="n">
        <x:v>0.5</x:v>
      </x:c>
      <x:c r="F63" s="3"/>
      <x:c r="G63" s="3"/>
      <x:c r="H63" s="3"/>
      <x:c r="I63" s="3"/>
      <x:c r="J63" s="3"/>
      <x:c r="K63" s="3"/>
      <x:c r="L63" s="3"/>
    </x:row>
    <x:row r="64" ht="25" customHeight="1">
      <x:c r="A64" s="2"/>
      <x:c r="B64" s="2"/>
      <x:c r="C64" s="32" t="str">
        <x:v>Introduction</x:v>
      </x:c>
      <x:c r="D64" s="16" t="n">
        <x:v>45</x:v>
      </x:c>
      <x:c r="E64" s="22" t="n">
        <x:v>0.25</x:v>
      </x:c>
      <x:c r="F64" s="3"/>
      <x:c r="G64" s="3"/>
      <x:c r="H64" s="3"/>
      <x:c r="I64" s="3"/>
      <x:c r="J64" s="3"/>
      <x:c r="K64" s="3"/>
      <x:c r="L64" s="3"/>
    </x:row>
    <x:row r="65" ht="25" customHeight="1">
      <x:c r="A65" s="2"/>
      <x:c r="B65" s="2"/>
      <x:c r="C65" s="32" t="str">
        <x:v>Standard</x:v>
      </x:c>
      <x:c r="D65" s="16" t="str">
        <x:v>Subsequent customers</x:v>
      </x:c>
      <x:c r="E65" s="22" t="n">
        <x:v>0</x:v>
      </x:c>
      <x:c r="F65" s="3"/>
      <x:c r="G65" s="3"/>
      <x:c r="H65" s="3"/>
      <x:c r="I65" s="3"/>
      <x:c r="J65" s="3"/>
      <x:c r="K65" s="3"/>
      <x:c r="L65" s="3"/>
    </x:row>
    <x:row r="66" ht="25" customHeight="1">
      <x:c r="A66" s="2"/>
      <x:c r="B66" s="2"/>
      <x:c r="C66" s="32"/>
      <x:c r="D66" s="3"/>
      <x:c r="E66" s="3"/>
      <x:c r="F66" s="3"/>
      <x:c r="G66" s="3"/>
      <x:c r="H66" s="3"/>
      <x:c r="I66" s="3"/>
      <x:c r="J66" s="3"/>
      <x:c r="K66" s="3"/>
      <x:c r="L66" s="3"/>
    </x:row>
    <x:row r="67" ht="25" customHeight="1">
      <x:c r="A67" s="2"/>
      <x:c r="B67" s="2"/>
      <x:c r="C67" s="32" t="str">
        <x:v>Representative employees</x:v>
      </x:c>
      <x:c r="D67" s="3" t="n">
        <x:v>100</x:v>
      </x:c>
      <x:c r="E67" s="3" t="n">
        <x:v>750</x:v>
      </x:c>
      <x:c r="F67" s="3" t="n">
        <x:v>2000</x:v>
      </x:c>
      <x:c r="G67" s="3" t="n">
        <x:v>5000</x:v>
      </x:c>
      <x:c r="H67" s="3"/>
      <x:c r="I67" s="3"/>
      <x:c r="J67" s="3"/>
      <x:c r="K67" s="3"/>
      <x:c r="L67" s="3"/>
    </x:row>
    <x:row r="68" ht="25" customHeight="1">
      <x:c r="A68" s="2"/>
      <x:c r="B68" s="2"/>
      <x:c r="C68" s="32" t="str">
        <x:v>Standard mapping contract, DKK</x:v>
      </x:c>
      <x:c r="D68" s="3" t="n">
        <x:f>MIN(D67,$D$57)*$E$57+MAX(0,MIN(D67-$D$57,$D$58))*$E$58+MAX(0,MIN(D67-$D$57-$D$58,$D$59))*$E$59+MAX(0,D67-$D$57-$D$58-$D$59)*$E$60</x:f>
        <x:v>199900</x:v>
      </x:c>
      <x:c r="E68" s="3" t="n">
        <x:f>MIN(E67,$D$57)*$E$57+MAX(0,MIN(E67-$D$57,$D$58))*$E$58+MAX(0,MIN(E67-$D$57-$D$58,$D$59))*$E$59+MAX(0,E67-$D$57-$D$58-$D$59)*$E$60</x:f>
        <x:v>1274250</x:v>
      </x:c>
      <x:c r="F68" s="3" t="n">
        <x:f>MIN(F67,$D$57)*$E$57+MAX(0,MIN(F67-$D$57,$D$58))*$E$58+MAX(0,MIN(F67-$D$57-$D$58,$D$59))*$E$59+MAX(0,F67-$D$57-$D$58-$D$59)*$E$60</x:f>
        <x:v>2648000</x:v>
      </x:c>
      <x:c r="G68" s="3" t="n">
        <x:f>MIN(G67,$D$57)*$E$57+MAX(0,MIN(G67-$D$57,$D$58))*$E$58+MAX(0,MIN(G67-$D$57-$D$58,$D$59))*$E$59+MAX(0,G67-$D$57-$D$58-$D$59)*$E$60</x:f>
        <x:v>5045000</x:v>
      </x:c>
      <x:c r="H68" s="3"/>
      <x:c r="I68" s="3"/>
      <x:c r="J68" s="3"/>
      <x:c r="K68" s="3"/>
      <x:c r="L68" s="3"/>
    </x:row>
    <x:row r="69" ht="25" customHeight="1">
      <x:c r="A69" s="2"/>
      <x:c r="B69" s="2"/>
      <x:c r="C69" s="32"/>
      <x:c r="D69" s="3"/>
      <x:c r="E69" s="3"/>
      <x:c r="F69" s="3"/>
      <x:c r="G69" s="3"/>
      <x:c r="H69" s="3"/>
      <x:c r="I69" s="3"/>
      <x:c r="J69" s="3"/>
      <x:c r="K69" s="3"/>
      <x:c r="L69" s="3"/>
    </x:row>
    <x:row r="70" ht="25" customHeight="1">
      <x:c r="A70" s="2"/>
      <x:c r="B70" s="2"/>
      <x:c r="C70" s="32" t="str">
        <x:v>Average standard mapping contract, EUR</x:v>
      </x:c>
      <x:c r="D70" s="52" t="n">
        <x:f>(D28*$D$68+D29*$E$68+D30*$F$68+D31*$G$68)/'Inputs'!D179</x:f>
        <x:v>26794.881762055018</x:v>
      </x:c>
      <x:c r="E70" s="52" t="n">
        <x:f>(E28*$D$68+E29*$E$68+E30*$F$68+E31*$G$68)/'Inputs'!E179</x:f>
        <x:v>41195.62274307743</x:v>
      </x:c>
      <x:c r="F70" s="52" t="n">
        <x:f>(F28*$D$68+F29*$E$68+F30*$F$68+F31*$G$68)/'Inputs'!F179</x:f>
        <x:v>64803.33441460087</x:v>
      </x:c>
      <x:c r="G70" s="52" t="n">
        <x:f>(G28*$D$68+G29*$E$68+G30*$F$68+G31*$G$68)/'Inputs'!G179</x:f>
        <x:v>72003.70490511207</x:v>
      </x:c>
      <x:c r="H70" s="52" t="n">
        <x:f>(H28*$D$68+H29*$E$68+H30*$F$68+H31*$G$68)/'Inputs'!H179</x:f>
        <x:v>87941.23087563904</x:v>
      </x:c>
      <x:c r="I70" s="3"/>
      <x:c r="J70" s="3"/>
      <x:c r="K70" s="3"/>
      <x:c r="L70" s="3"/>
    </x:row>
    <x:row r="71" ht="25" customHeight="1">
      <x:c r="A71" s="2"/>
      <x:c r="B71" s="2"/>
      <x:c r="C71" s="32"/>
      <x:c r="D71" s="3"/>
      <x:c r="E71" s="3"/>
      <x:c r="F71" s="3"/>
      <x:c r="G71" s="3"/>
      <x:c r="H71" s="3"/>
      <x:c r="I71" s="3"/>
      <x:c r="J71" s="3"/>
      <x:c r="K71" s="3"/>
      <x:c r="L71" s="3"/>
    </x:row>
    <x:row r="72" ht="25" customHeight="1">
      <x:c r="A72" s="2"/>
      <x:c r="B72" s="2"/>
      <x:c r="C72" s="32" t="str">
        <x:v>Standard mapping, 100 employees, DKK</x:v>
      </x:c>
      <x:c r="D72" s="3"/>
      <x:c r="E72" s="3" t="n">
        <x:f>D68</x:f>
        <x:v>199900</x:v>
      </x:c>
      <x:c r="F72" s="3"/>
      <x:c r="G72" s="3"/>
      <x:c r="H72" s="3"/>
      <x:c r="I72" s="3"/>
      <x:c r="J72" s="3"/>
      <x:c r="K72" s="3"/>
      <x:c r="L72" s="3"/>
    </x:row>
    <x:row r="73" ht="25" customHeight="1">
      <x:c r="A73" s="2"/>
      <x:c r="B73" s="2"/>
      <x:c r="C73" s="32" t="str">
        <x:v>First-year Map subscription, 100 staff, DKK</x:v>
      </x:c>
      <x:c r="D73" s="3"/>
      <x:c r="E73" s="3" t="n">
        <x:f>D17</x:f>
        <x:v>99900</x:v>
      </x:c>
      <x:c r="F73" s="3"/>
      <x:c r="G73" s="3"/>
      <x:c r="H73" s="3"/>
      <x:c r="I73" s="3"/>
      <x:c r="J73" s="3"/>
      <x:c r="K73" s="3"/>
      <x:c r="L73" s="3"/>
    </x:row>
    <x:row r="74" ht="25" customHeight="1">
      <x:c r="A74" s="2"/>
      <x:c r="B74" s="2"/>
      <x:c r="C74" s="60" t="str">
        <x:v>Standard first-year total, 100 staff, DKK</x:v>
      </x:c>
      <x:c r="D74" s="40"/>
      <x:c r="E74" s="40" t="n">
        <x:f>SUM(E72:E73)</x:f>
        <x:v>299800</x:v>
      </x:c>
      <x:c r="F74" s="40"/>
      <x:c r="G74" s="40"/>
      <x:c r="H74" s="40"/>
      <x:c r="I74" s="3"/>
      <x:c r="J74" s="3"/>
      <x:c r="K74" s="3"/>
      <x:c r="L74" s="3"/>
    </x:row>
    <x:row r="75" ht="25" customHeight="1">
      <x:c r="A75" s="2"/>
      <x:c r="B75" s="2"/>
      <x:c r="C75" s="32"/>
      <x:c r="D75" s="3"/>
      <x:c r="E75" s="3"/>
      <x:c r="F75" s="3"/>
      <x:c r="G75" s="3"/>
      <x:c r="H75" s="3"/>
      <x:c r="I75" s="3"/>
      <x:c r="J75" s="3"/>
      <x:c r="K75" s="3"/>
      <x:c r="L75" s="3"/>
    </x:row>
    <x:row r="76" ht="42" customHeight="1">
      <x:c r="A76" s="2"/>
      <x:c r="B76" s="2"/>
      <x:c r="C76" s="36" t="str">
        <x:v>The first five customers receive 50% mapping discount. The next 45 receive 25%. Discount slots follow cumulative signed new customers, and churn releases zero new slots.</x:v>
      </x:c>
      <x:c r="D76" s="18"/>
      <x:c r="E76" s="18"/>
      <x:c r="F76" s="18"/>
      <x:c r="G76" s="18"/>
      <x:c r="H76" s="18"/>
      <x:c r="I76" s="18"/>
      <x:c r="J76" s="18"/>
      <x:c r="K76" s="18"/>
      <x:c r="L76" s="18"/>
    </x:row>
    <x:row r="77" ht="25" customHeight="1">
      <x:c r="A77" s="2"/>
      <x:c r="B77" s="2"/>
      <x:c r="C77" s="32"/>
      <x:c r="D77" s="3"/>
      <x:c r="E77" s="3"/>
      <x:c r="F77" s="3"/>
      <x:c r="G77" s="3"/>
      <x:c r="H77" s="3"/>
      <x:c r="I77" s="3"/>
      <x:c r="J77" s="3"/>
      <x:c r="K77" s="3"/>
      <x:c r="L77" s="3"/>
    </x:row>
    <x:row r="78" ht="42" customHeight="1">
      <x:c r="A78" s="2"/>
      <x:c r="B78" s="2"/>
      <x:c r="C78" s="36" t="str">
        <x:v>Mapping is a separately accepted deliverable. Platform subscriptions begin after acceptance. Contract wording and revenue timing require accounting review.</x:v>
      </x:c>
      <x:c r="D78" s="18"/>
      <x:c r="E78" s="18"/>
      <x:c r="F78" s="18"/>
      <x:c r="G78" s="18"/>
      <x:c r="H78" s="18"/>
      <x:c r="I78" s="18"/>
      <x:c r="J78" s="18"/>
      <x:c r="K78" s="18"/>
      <x:c r="L78" s="18"/>
    </x:row>
    <x:row r="79" ht="25" customHeight="1">
      <x:c r="A79" s="2"/>
      <x:c r="B79" s="2"/>
      <x:c r="C79" s="32"/>
      <x:c r="D79" s="3"/>
      <x:c r="E79" s="3"/>
      <x:c r="F79" s="3"/>
      <x:c r="G79" s="3"/>
      <x:c r="H79" s="3"/>
      <x:c r="I79" s="3"/>
      <x:c r="J79" s="3"/>
      <x:c r="K79" s="3"/>
      <x:c r="L79" s="3"/>
    </x:row>
    <x:row r="80" ht="25" customHeight="1">
      <x:c r="A80" s="2"/>
      <x:c r="B80" s="2"/>
      <x:c r="C80" s="32"/>
      <x:c r="D80" s="3"/>
      <x:c r="E80" s="3"/>
      <x:c r="F80" s="3"/>
      <x:c r="G80" s="3"/>
      <x:c r="H80" s="3"/>
      <x:c r="I80" s="3"/>
      <x:c r="J80" s="3"/>
      <x:c r="K80" s="3"/>
      <x:c r="L80" s="3"/>
    </x:row>
    <x:row r="81" ht="25" customHeight="1">
      <x:c r="A81" s="2"/>
      <x:c r="B81" s="2"/>
      <x:c r="C81" s="32"/>
      <x:c r="D81" s="3"/>
      <x:c r="E81" s="3"/>
      <x:c r="F81" s="3"/>
      <x:c r="G81" s="3"/>
      <x:c r="H81" s="3"/>
      <x:c r="I81" s="3"/>
      <x:c r="J81" s="3"/>
      <x:c r="K81" s="3"/>
      <x:c r="L81" s="3"/>
    </x:row>
    <x:row r="82" ht="25" customHeight="1">
      <x:c r="A82" s="2"/>
      <x:c r="B82" s="2"/>
      <x:c r="C82" s="32"/>
      <x:c r="D82" s="3"/>
      <x:c r="E82" s="3"/>
      <x:c r="F82" s="3"/>
      <x:c r="G82" s="3"/>
      <x:c r="H82" s="3"/>
      <x:c r="I82" s="3"/>
      <x:c r="J82" s="3"/>
      <x:c r="K82" s="3"/>
      <x:c r="L82" s="3"/>
    </x:row>
    <x:row r="83" ht="25" customHeight="1">
      <x:c r="A83" s="2"/>
      <x:c r="B83" s="2"/>
      <x:c r="C83" s="32"/>
      <x:c r="D83" s="3"/>
      <x:c r="E83" s="3"/>
      <x:c r="F83" s="3"/>
      <x:c r="G83" s="3"/>
      <x:c r="H83" s="3"/>
      <x:c r="I83" s="3"/>
      <x:c r="J83" s="3"/>
      <x:c r="K83" s="3"/>
      <x:c r="L83" s="3"/>
    </x:row>
    <x:row r="84" ht="25" customHeight="1">
      <x:c r="A84" s="2"/>
      <x:c r="B84" s="2"/>
      <x:c r="C84" s="32"/>
      <x:c r="D84" s="3"/>
      <x:c r="E84" s="3"/>
      <x:c r="F84" s="3"/>
      <x:c r="G84" s="3"/>
      <x:c r="H84" s="3"/>
      <x:c r="I84" s="3"/>
      <x:c r="J84" s="3"/>
      <x:c r="K84" s="3"/>
      <x:c r="L84" s="3"/>
    </x:row>
    <x:row r="85" ht="25" customHeight="1">
      <x:c r="A85" s="2"/>
      <x:c r="B85" s="2"/>
      <x:c r="C85" s="32"/>
      <x:c r="D85" s="3"/>
      <x:c r="E85" s="3"/>
      <x:c r="F85" s="3"/>
      <x:c r="G85" s="3"/>
      <x:c r="H85" s="3"/>
      <x:c r="I85" s="3"/>
      <x:c r="J85" s="3"/>
      <x:c r="K85" s="3"/>
      <x:c r="L85" s="3"/>
    </x:row>
    <x:row r="86" ht="25" customHeight="1">
      <x:c r="A86" s="2"/>
      <x:c r="B86" s="2"/>
      <x:c r="C86" s="32"/>
      <x:c r="D86" s="3"/>
      <x:c r="E86" s="3"/>
      <x:c r="F86" s="3"/>
      <x:c r="G86" s="3"/>
      <x:c r="H86" s="3"/>
      <x:c r="I86" s="3"/>
      <x:c r="J86" s="3"/>
      <x:c r="K86" s="3"/>
      <x:c r="L86" s="3"/>
    </x:row>
    <x:row r="87" ht="25" customHeight="1">
      <x:c r="A87" s="2"/>
      <x:c r="B87" s="2"/>
      <x:c r="C87" s="32"/>
      <x:c r="D87" s="3"/>
      <x:c r="E87" s="3"/>
      <x:c r="F87" s="3"/>
      <x:c r="G87" s="3"/>
      <x:c r="H87" s="3"/>
      <x:c r="I87" s="3"/>
      <x:c r="J87" s="3"/>
      <x:c r="K87" s="3"/>
      <x:c r="L87" s="3"/>
    </x:row>
    <x:row r="88" ht="25" customHeight="1">
      <x:c r="A88" s="2"/>
      <x:c r="B88" s="2"/>
      <x:c r="C88" s="32"/>
      <x:c r="D88" s="3"/>
      <x:c r="E88" s="3"/>
      <x:c r="F88" s="3"/>
      <x:c r="G88" s="3"/>
      <x:c r="H88" s="3"/>
      <x:c r="I88" s="3"/>
      <x:c r="J88" s="3"/>
      <x:c r="K88" s="3"/>
      <x:c r="L88" s="3"/>
    </x:row>
    <x:row r="89" ht="25" customHeight="1">
      <x:c r="A89" s="2"/>
      <x:c r="B89" s="2"/>
      <x:c r="C89" s="32"/>
      <x:c r="D89" s="3"/>
      <x:c r="E89" s="3"/>
      <x:c r="F89" s="3"/>
      <x:c r="G89" s="3"/>
      <x:c r="H89" s="3"/>
      <x:c r="I89" s="3"/>
      <x:c r="J89" s="3"/>
      <x:c r="K89" s="3"/>
      <x:c r="L89" s="3"/>
    </x:row>
    <x:row r="90" ht="25" customHeight="1">
      <x:c r="A90" s="2"/>
      <x:c r="B90" s="2"/>
      <x:c r="C90" s="32"/>
      <x:c r="D90" s="3"/>
      <x:c r="E90" s="3"/>
      <x:c r="F90" s="3"/>
      <x:c r="G90" s="3"/>
      <x:c r="H90" s="3"/>
      <x:c r="I90" s="3"/>
      <x:c r="J90" s="3"/>
      <x:c r="K90" s="3"/>
      <x:c r="L90" s="3"/>
    </x:row>
    <x:row r="91" ht="25" customHeight="1">
      <x:c r="A91" s="2"/>
      <x:c r="B91" s="2"/>
      <x:c r="C91" s="32"/>
      <x:c r="D91" s="3"/>
      <x:c r="E91" s="3"/>
      <x:c r="F91" s="3"/>
      <x:c r="G91" s="3"/>
      <x:c r="H91" s="3"/>
      <x:c r="I91" s="3"/>
      <x:c r="J91" s="3"/>
      <x:c r="K91" s="3"/>
      <x:c r="L91" s="3"/>
    </x:row>
    <x:row r="92" ht="25" customHeight="1">
      <x:c r="A92" s="2"/>
      <x:c r="B92" s="2"/>
      <x:c r="C92" s="32"/>
      <x:c r="D92" s="3"/>
      <x:c r="E92" s="3"/>
      <x:c r="F92" s="3"/>
      <x:c r="G92" s="3"/>
      <x:c r="H92" s="3"/>
      <x:c r="I92" s="3"/>
      <x:c r="J92" s="3"/>
      <x:c r="K92" s="3"/>
      <x:c r="L92" s="3"/>
    </x:row>
    <x:row r="93" ht="25" customHeight="1">
      <x:c r="A93" s="2"/>
      <x:c r="B93" s="2"/>
      <x:c r="C93" s="32"/>
      <x:c r="D93" s="3"/>
      <x:c r="E93" s="3"/>
      <x:c r="F93" s="3"/>
      <x:c r="G93" s="3"/>
      <x:c r="H93" s="3"/>
      <x:c r="I93" s="3"/>
      <x:c r="J93" s="3"/>
      <x:c r="K93" s="3"/>
      <x:c r="L93" s="3"/>
    </x:row>
    <x:row r="94" ht="25" customHeight="1">
      <x:c r="A94" s="2"/>
      <x:c r="B94" s="2"/>
      <x:c r="C94" s="32"/>
      <x:c r="D94" s="3"/>
      <x:c r="E94" s="3"/>
      <x:c r="F94" s="3"/>
      <x:c r="G94" s="3"/>
      <x:c r="H94" s="3"/>
      <x:c r="I94" s="3"/>
      <x:c r="J94" s="3"/>
      <x:c r="K94" s="3"/>
      <x:c r="L94" s="3"/>
    </x:row>
    <x:row r="95" ht="25" customHeight="1">
      <x:c r="A95" s="2"/>
      <x:c r="B95" s="2"/>
      <x:c r="C95" s="32"/>
      <x:c r="D95" s="3"/>
      <x:c r="E95" s="3"/>
      <x:c r="F95" s="3"/>
      <x:c r="G95" s="3"/>
      <x:c r="H95" s="3"/>
      <x:c r="I95" s="3"/>
      <x:c r="J95" s="3"/>
      <x:c r="K95" s="3"/>
      <x:c r="L95" s="3"/>
    </x:row>
    <x:row r="96" ht="25" customHeight="1">
      <x:c r="A96" s="2"/>
      <x:c r="B96" s="2"/>
      <x:c r="C96" s="32"/>
      <x:c r="D96" s="3"/>
      <x:c r="E96" s="3"/>
      <x:c r="F96" s="3"/>
      <x:c r="G96" s="3"/>
      <x:c r="H96" s="3"/>
      <x:c r="I96" s="3"/>
      <x:c r="J96" s="3"/>
      <x:c r="K96" s="3"/>
      <x:c r="L96" s="3"/>
    </x:row>
    <x:row r="97" ht="25" customHeight="1">
      <x:c r="A97" s="2"/>
      <x:c r="B97" s="2"/>
      <x:c r="C97" s="32"/>
      <x:c r="D97" s="3"/>
      <x:c r="E97" s="3"/>
      <x:c r="F97" s="3"/>
      <x:c r="G97" s="3"/>
      <x:c r="H97" s="3"/>
      <x:c r="I97" s="3"/>
      <x:c r="J97" s="3"/>
      <x:c r="K97" s="3"/>
      <x:c r="L97" s="3"/>
    </x:row>
    <x:row r="98" ht="25" customHeight="1">
      <x:c r="A98" s="2"/>
      <x:c r="B98" s="2"/>
      <x:c r="C98" s="32"/>
      <x:c r="D98" s="3"/>
      <x:c r="E98" s="3"/>
      <x:c r="F98" s="3"/>
      <x:c r="G98" s="3"/>
      <x:c r="H98" s="3"/>
      <x:c r="I98" s="3"/>
      <x:c r="J98" s="3"/>
      <x:c r="K98" s="3"/>
      <x:c r="L98" s="3"/>
    </x:row>
    <x:row r="99" ht="25" customHeight="1">
      <x:c r="A99" s="2"/>
      <x:c r="B99" s="2"/>
      <x:c r="C99" s="32"/>
      <x:c r="D99" s="3"/>
      <x:c r="E99" s="3"/>
      <x:c r="F99" s="3"/>
      <x:c r="G99" s="3"/>
      <x:c r="H99" s="3"/>
      <x:c r="I99" s="3"/>
      <x:c r="J99" s="3"/>
      <x:c r="K99" s="3"/>
      <x:c r="L99" s="3"/>
    </x:row>
    <x:row r="100" ht="25" customHeight="1">
      <x:c r="A100" s="2"/>
      <x:c r="B100" s="2"/>
      <x:c r="C100" s="32"/>
      <x:c r="D100" s="3"/>
      <x:c r="E100" s="3"/>
      <x:c r="F100" s="3"/>
      <x:c r="G100" s="3"/>
      <x:c r="H100" s="3"/>
      <x:c r="I100" s="3"/>
      <x:c r="J100" s="3"/>
      <x:c r="K100" s="3"/>
      <x:c r="L100" s="3"/>
    </x:row>
    <x:row r="101" ht="25" customHeight="1">
      <x:c r="A101" s="2"/>
      <x:c r="B101" s="2"/>
      <x:c r="C101" s="32"/>
      <x:c r="D101" s="3"/>
      <x:c r="E101" s="3"/>
      <x:c r="F101" s="3"/>
      <x:c r="G101" s="3"/>
      <x:c r="H101" s="3"/>
      <x:c r="I101" s="3"/>
      <x:c r="J101" s="3"/>
      <x:c r="K101" s="3"/>
      <x:c r="L101" s="3"/>
    </x:row>
    <x:row r="102" ht="25" customHeight="1">
      <x:c r="A102" s="2"/>
      <x:c r="B102" s="2"/>
      <x:c r="C102" s="32"/>
      <x:c r="D102" s="3"/>
      <x:c r="E102" s="3"/>
      <x:c r="F102" s="3"/>
      <x:c r="G102" s="3"/>
      <x:c r="H102" s="3"/>
      <x:c r="I102" s="3"/>
      <x:c r="J102" s="3"/>
      <x:c r="K102" s="3"/>
      <x:c r="L102" s="3"/>
    </x:row>
    <x:row r="103" ht="25" customHeight="1">
      <x:c r="A103" s="2"/>
      <x:c r="B103" s="2"/>
      <x:c r="C103" s="32"/>
      <x:c r="D103" s="3"/>
      <x:c r="E103" s="3"/>
      <x:c r="F103" s="3"/>
      <x:c r="G103" s="3"/>
      <x:c r="H103" s="3"/>
      <x:c r="I103" s="3"/>
      <x:c r="J103" s="3"/>
      <x:c r="K103" s="3"/>
      <x:c r="L103" s="3"/>
    </x:row>
    <x:row r="104" ht="25" customHeight="1">
      <x:c r="A104" s="2"/>
      <x:c r="B104" s="2"/>
      <x:c r="C104" s="32"/>
      <x:c r="D104" s="3"/>
      <x:c r="E104" s="3"/>
      <x:c r="F104" s="3"/>
      <x:c r="G104" s="3"/>
      <x:c r="H104" s="3"/>
      <x:c r="I104" s="3"/>
      <x:c r="J104" s="3"/>
      <x:c r="K104" s="3"/>
      <x:c r="L104" s="3"/>
    </x:row>
    <x:row r="105" ht="25" customHeight="1">
      <x:c r="A105" s="2"/>
      <x:c r="B105" s="2"/>
      <x:c r="C105" s="32"/>
      <x:c r="D105" s="3"/>
      <x:c r="E105" s="3"/>
      <x:c r="F105" s="3"/>
      <x:c r="G105" s="3"/>
      <x:c r="H105" s="3"/>
      <x:c r="I105" s="3"/>
      <x:c r="J105" s="3"/>
      <x:c r="K105" s="3"/>
      <x:c r="L105" s="3"/>
    </x:row>
    <x:row r="106" ht="25" customHeight="1">
      <x:c r="A106" s="2"/>
      <x:c r="B106" s="2"/>
      <x:c r="C106" s="32"/>
      <x:c r="D106" s="3"/>
      <x:c r="E106" s="3"/>
      <x:c r="F106" s="3"/>
      <x:c r="G106" s="3"/>
      <x:c r="H106" s="3"/>
      <x:c r="I106" s="3"/>
      <x:c r="J106" s="3"/>
      <x:c r="K106" s="3"/>
      <x:c r="L106" s="3"/>
    </x:row>
    <x:row r="107" ht="25" customHeight="1">
      <x:c r="A107" s="2"/>
      <x:c r="B107" s="2"/>
      <x:c r="C107" s="32"/>
      <x:c r="D107" s="3"/>
      <x:c r="E107" s="3"/>
      <x:c r="F107" s="3"/>
      <x:c r="G107" s="3"/>
      <x:c r="H107" s="3"/>
      <x:c r="I107" s="3"/>
      <x:c r="J107" s="3"/>
      <x:c r="K107" s="3"/>
      <x:c r="L107" s="3"/>
    </x:row>
    <x:row r="108" ht="25" customHeight="1">
      <x:c r="A108" s="2"/>
      <x:c r="B108" s="2"/>
      <x:c r="C108" s="32"/>
      <x:c r="D108" s="3"/>
      <x:c r="E108" s="3"/>
      <x:c r="F108" s="3"/>
      <x:c r="G108" s="3"/>
      <x:c r="H108" s="3"/>
      <x:c r="I108" s="3"/>
      <x:c r="J108" s="3"/>
      <x:c r="K108" s="3"/>
      <x:c r="L108" s="3"/>
    </x:row>
    <x:row r="109" ht="25" customHeight="1">
      <x:c r="A109" s="2"/>
      <x:c r="B109" s="2"/>
      <x:c r="C109" s="32"/>
      <x:c r="D109" s="3"/>
      <x:c r="E109" s="3"/>
      <x:c r="F109" s="3"/>
      <x:c r="G109" s="3"/>
      <x:c r="H109" s="3"/>
      <x:c r="I109" s="3"/>
      <x:c r="J109" s="3"/>
      <x:c r="K109" s="3"/>
      <x:c r="L109" s="3"/>
    </x:row>
    <x:row r="110" ht="25" customHeight="1">
      <x:c r="A110" s="2"/>
      <x:c r="B110" s="2"/>
      <x:c r="C110" s="32"/>
      <x:c r="D110" s="3"/>
      <x:c r="E110" s="3"/>
      <x:c r="F110" s="3"/>
      <x:c r="G110" s="3"/>
      <x:c r="H110" s="3"/>
      <x:c r="I110" s="3"/>
      <x:c r="J110" s="3"/>
      <x:c r="K110" s="3"/>
      <x:c r="L110" s="3"/>
    </x:row>
    <x:row r="111" ht="25" customHeight="1">
      <x:c r="A111" s="2"/>
      <x:c r="B111" s="2"/>
      <x:c r="C111" s="32"/>
      <x:c r="D111" s="3"/>
      <x:c r="E111" s="3"/>
      <x:c r="F111" s="3"/>
      <x:c r="G111" s="3"/>
      <x:c r="H111" s="3"/>
      <x:c r="I111" s="3"/>
      <x:c r="J111" s="3"/>
      <x:c r="K111" s="3"/>
      <x:c r="L111" s="3"/>
    </x:row>
    <x:row r="112" ht="25" customHeight="1">
      <x:c r="A112" s="2"/>
      <x:c r="B112" s="2"/>
      <x:c r="C112" s="32"/>
      <x:c r="D112" s="3"/>
      <x:c r="E112" s="3"/>
      <x:c r="F112" s="3"/>
      <x:c r="G112" s="3"/>
      <x:c r="H112" s="3"/>
      <x:c r="I112" s="3"/>
      <x:c r="J112" s="3"/>
      <x:c r="K112" s="3"/>
      <x:c r="L112" s="3"/>
    </x:row>
    <x:row r="113" ht="25" customHeight="1">
      <x:c r="A113" s="2"/>
      <x:c r="B113" s="2"/>
      <x:c r="C113" s="32"/>
      <x:c r="D113" s="3"/>
      <x:c r="E113" s="3"/>
      <x:c r="F113" s="3"/>
      <x:c r="G113" s="3"/>
      <x:c r="H113" s="3"/>
      <x:c r="I113" s="3"/>
      <x:c r="J113" s="3"/>
      <x:c r="K113" s="3"/>
      <x:c r="L113" s="3"/>
    </x:row>
    <x:row r="114" ht="25" customHeight="1">
      <x:c r="A114" s="2"/>
      <x:c r="B114" s="2"/>
      <x:c r="C114" s="32"/>
      <x:c r="D114" s="3"/>
      <x:c r="E114" s="3"/>
      <x:c r="F114" s="3"/>
      <x:c r="G114" s="3"/>
      <x:c r="H114" s="3"/>
      <x:c r="I114" s="3"/>
      <x:c r="J114" s="3"/>
      <x:c r="K114" s="3"/>
      <x:c r="L114" s="3"/>
    </x:row>
    <x:row r="115" ht="25" customHeight="1">
      <x:c r="A115" s="2"/>
      <x:c r="B115" s="2"/>
      <x:c r="C115" s="32"/>
      <x:c r="D115" s="3"/>
      <x:c r="E115" s="3"/>
      <x:c r="F115" s="3"/>
      <x:c r="G115" s="3"/>
      <x:c r="H115" s="3"/>
      <x:c r="I115" s="3"/>
      <x:c r="J115" s="3"/>
      <x:c r="K115" s="3"/>
      <x:c r="L115" s="3"/>
    </x:row>
    <x:row r="116" ht="25" customHeight="1">
      <x:c r="A116" s="2"/>
      <x:c r="B116" s="2"/>
      <x:c r="C116" s="32"/>
      <x:c r="D116" s="3"/>
      <x:c r="E116" s="3"/>
      <x:c r="F116" s="3"/>
      <x:c r="G116" s="3"/>
      <x:c r="H116" s="3"/>
      <x:c r="I116" s="3"/>
      <x:c r="J116" s="3"/>
      <x:c r="K116" s="3"/>
      <x:c r="L116" s="3"/>
    </x:row>
    <x:row r="117" ht="25" customHeight="1">
      <x:c r="A117" s="2"/>
      <x:c r="B117" s="2"/>
      <x:c r="C117" s="32"/>
      <x:c r="D117" s="3"/>
      <x:c r="E117" s="3"/>
      <x:c r="F117" s="3"/>
      <x:c r="G117" s="3"/>
      <x:c r="H117" s="3"/>
      <x:c r="I117" s="3"/>
      <x:c r="J117" s="3"/>
      <x:c r="K117" s="3"/>
      <x:c r="L117" s="3"/>
    </x:row>
    <x:row r="118" ht="25" customHeight="1">
      <x:c r="A118" s="2"/>
      <x:c r="B118" s="2"/>
      <x:c r="C118" s="32"/>
      <x:c r="D118" s="3"/>
      <x:c r="E118" s="3"/>
      <x:c r="F118" s="3"/>
      <x:c r="G118" s="3"/>
      <x:c r="H118" s="3"/>
      <x:c r="I118" s="3"/>
      <x:c r="J118" s="3"/>
      <x:c r="K118" s="3"/>
      <x:c r="L118" s="3"/>
    </x:row>
    <x:row r="119" ht="25" customHeight="1">
      <x:c r="A119" s="2"/>
      <x:c r="B119" s="2"/>
      <x:c r="C119" s="32"/>
      <x:c r="D119" s="3"/>
      <x:c r="E119" s="3"/>
      <x:c r="F119" s="3"/>
      <x:c r="G119" s="3"/>
      <x:c r="H119" s="3"/>
      <x:c r="I119" s="3"/>
      <x:c r="J119" s="3"/>
      <x:c r="K119" s="3"/>
      <x:c r="L119" s="3"/>
    </x:row>
    <x:row r="120" ht="25" customHeight="1">
      <x:c r="A120" s="2"/>
      <x:c r="B120" s="2"/>
      <x:c r="C120" s="32"/>
      <x:c r="D120" s="3"/>
      <x:c r="E120" s="3"/>
      <x:c r="F120" s="3"/>
      <x:c r="G120" s="3"/>
      <x:c r="H120" s="3"/>
      <x:c r="I120" s="3"/>
      <x:c r="J120" s="3"/>
      <x:c r="K120" s="3"/>
      <x:c r="L120" s="3"/>
    </x:row>
  </x:sheetData>
  <x:mergeCells>
    <x:mergeCell ref="C2:L2"/>
    <x:mergeCell ref="C49:H49"/>
    <x:mergeCell ref="C51:H51"/>
    <x:mergeCell ref="C76:L76"/>
    <x:mergeCell ref="C78:L78"/>
  </x:mergeCells>
  <x:pageMargins left="0.7" right="0.7" top="0.75" bottom="0.75" header="0.3" footer="0.3"/>
</x:worksheet>
</file>

<file path=xl/worksheets/sheet5.xml><?xml version="1.0" encoding="utf-8"?>
<x:worksheet xmlns:x="http://schemas.openxmlformats.org/spreadsheetml/2006/main">
  <x:sheetPr>
    <x:tabColor rgb="FF739A96"/>
  </x:sheetPr>
  <x:sheetViews>
    <x:sheetView showGridLines="0" workbookViewId="0">
      <x:pane xSplit="3" ySplit="5" topLeftCell="D6" activePane="bottomRight" state="frozen"/>
    </x:sheetView>
  </x:sheetViews>
  <x:sheetFormatPr defaultRowHeight="15"/>
  <x:cols>
    <x:col min="1" max="1" width="2" hidden="0" customWidth="1"/>
    <x:col min="2" max="2" width="2" hidden="0" customWidth="1"/>
    <x:col min="3" max="3" width="48" hidden="0" customWidth="1"/>
    <x:col min="4" max="4" width="18" hidden="0" customWidth="1"/>
    <x:col min="5" max="5" width="18" hidden="0" customWidth="1"/>
    <x:col min="6" max="6" width="18" hidden="0" customWidth="1"/>
    <x:col min="7" max="7" width="18" hidden="0" customWidth="1"/>
    <x:col min="8" max="8" width="18" hidden="0" customWidth="1"/>
    <x:col min="9" max="9" width="16" hidden="0" customWidth="1"/>
    <x:col min="10" max="10" width="16" hidden="0" customWidth="1"/>
    <x:col min="11" max="11" width="16" hidden="0" customWidth="1"/>
    <x:col min="12" max="12" width="16" hidden="0" customWidth="1"/>
  </x:cols>
  <x:sheetData>
    <x:row r="1" ht="25" customHeight="1">
      <x:c r="A1" s="2"/>
      <x:c r="B1" s="2"/>
      <x:c r="C1" s="2"/>
      <x:c r="D1" s="3"/>
      <x:c r="E1" s="3"/>
      <x:c r="F1" s="3"/>
      <x:c r="G1" s="3"/>
      <x:c r="H1" s="3"/>
      <x:c r="I1" s="3"/>
      <x:c r="J1" s="3"/>
      <x:c r="K1" s="3"/>
      <x:c r="L1" s="3"/>
    </x:row>
    <x:row r="2" ht="34" customHeight="1">
      <x:c r="A2" s="2"/>
      <x:c r="B2" s="2"/>
      <x:c r="C2" s="4" t="str">
        <x:v>Mapping, live operations and model development</x:v>
      </x:c>
      <x:c r="D2" s="3"/>
      <x:c r="E2" s="3"/>
      <x:c r="F2" s="3"/>
      <x:c r="G2" s="3"/>
      <x:c r="H2" s="3"/>
      <x:c r="I2" s="3"/>
      <x:c r="J2" s="3"/>
      <x:c r="K2" s="3"/>
      <x:c r="L2" s="3"/>
    </x:row>
    <x:row r="3" ht="25" customHeight="1">
      <x:c r="A3" s="2"/>
      <x:c r="B3" s="2"/>
      <x:c r="C3" s="2" t="str">
        <x:v>Selected case</x:v>
      </x:c>
      <x:c r="D3" s="52" t="str">
        <x:f>'Inputs'!$E$3</x:f>
        <x:v>Base</x:v>
      </x:c>
      <x:c r="E3" s="3"/>
      <x:c r="F3" s="3"/>
      <x:c r="G3" s="3"/>
      <x:c r="H3" s="3"/>
      <x:c r="I3" s="3"/>
      <x:c r="J3" s="3"/>
      <x:c r="K3" s="3"/>
      <x:c r="L3" s="3"/>
    </x:row>
    <x:row r="4" ht="25" customHeight="1">
      <x:c r="A4" s="2"/>
      <x:c r="B4" s="2"/>
      <x:c r="C4" s="2"/>
      <x:c r="D4" s="3"/>
      <x:c r="E4" s="3"/>
      <x:c r="F4" s="3"/>
      <x:c r="G4" s="3"/>
      <x:c r="H4" s="3"/>
      <x:c r="I4" s="3"/>
      <x:c r="J4" s="3"/>
      <x:c r="K4" s="3"/>
      <x:c r="L4" s="3"/>
    </x:row>
    <x:row r="5" ht="25" customHeight="1">
      <x:c r="A5" s="2"/>
      <x:c r="B5" s="2"/>
      <x:c r="C5" s="7"/>
      <x:c r="D5" s="9" t="str">
        <x:v>2026 Q4</x:v>
      </x:c>
      <x:c r="E5" s="9" t="n">
        <x:v>2027</x:v>
      </x:c>
      <x:c r="F5" s="9" t="n">
        <x:v>2028</x:v>
      </x:c>
      <x:c r="G5" s="9" t="n">
        <x:v>2029</x:v>
      </x:c>
      <x:c r="H5" s="9" t="n">
        <x:v>2030</x:v>
      </x:c>
      <x:c r="I5" s="3"/>
      <x:c r="J5" s="3"/>
      <x:c r="K5" s="3"/>
      <x:c r="L5" s="3"/>
    </x:row>
    <x:row r="6" ht="25" customHeight="1">
      <x:c r="A6" s="2"/>
      <x:c r="B6" s="2"/>
      <x:c r="C6" s="32"/>
      <x:c r="D6" s="3"/>
      <x:c r="E6" s="3"/>
      <x:c r="F6" s="3"/>
      <x:c r="G6" s="3"/>
      <x:c r="H6" s="3"/>
      <x:c r="I6" s="3"/>
      <x:c r="J6" s="3"/>
      <x:c r="K6" s="3"/>
      <x:c r="L6" s="3"/>
    </x:row>
    <x:row r="7" ht="27" customHeight="1">
      <x:c r="A7" s="2"/>
      <x:c r="B7" s="2"/>
      <x:c r="C7" s="61" t="str">
        <x:v>Observed unit tariffs and fixed technical assumptions</x:v>
      </x:c>
      <x:c r="D7" s="15"/>
      <x:c r="E7" s="15"/>
      <x:c r="F7" s="15"/>
      <x:c r="G7" s="15"/>
      <x:c r="H7" s="15"/>
      <x:c r="I7" s="3"/>
      <x:c r="J7" s="3"/>
      <x:c r="K7" s="3"/>
      <x:c r="L7" s="3"/>
    </x:row>
    <x:row r="8" ht="34" customHeight="1">
      <x:c r="A8" s="2"/>
      <x:c r="B8" s="2"/>
      <x:c r="C8" s="32" t="str">
        <x:v>Fast model input, USD / million</x:v>
      </x:c>
      <x:c r="D8" s="30" t="n">
        <x:v>1</x:v>
      </x:c>
      <x:c r="E8" s="3"/>
      <x:c r="F8" s="33" t="str">
        <x:v>S1: Claude Haiku 4.5</x:v>
      </x:c>
      <x:c r="G8" s="33"/>
      <x:c r="H8" s="33"/>
      <x:c r="I8" s="33"/>
      <x:c r="J8" s="33"/>
      <x:c r="K8" s="33"/>
      <x:c r="L8" s="33"/>
    </x:row>
    <x:row r="9" ht="34" customHeight="1">
      <x:c r="A9" s="2"/>
      <x:c r="B9" s="2"/>
      <x:c r="C9" s="32" t="str">
        <x:v>Fast model output, USD / million</x:v>
      </x:c>
      <x:c r="D9" s="30" t="n">
        <x:v>5</x:v>
      </x:c>
      <x:c r="E9" s="3"/>
      <x:c r="F9" s="33" t="str">
        <x:v>S1</x:v>
      </x:c>
      <x:c r="G9" s="33"/>
      <x:c r="H9" s="33"/>
      <x:c r="I9" s="33"/>
      <x:c r="J9" s="33"/>
      <x:c r="K9" s="33"/>
      <x:c r="L9" s="33"/>
    </x:row>
    <x:row r="10" ht="34" customHeight="1">
      <x:c r="A10" s="2"/>
      <x:c r="B10" s="2"/>
      <x:c r="C10" s="32" t="str">
        <x:v>Quality model input, USD / million</x:v>
      </x:c>
      <x:c r="D10" s="30" t="n">
        <x:v>2</x:v>
      </x:c>
      <x:c r="E10" s="3"/>
      <x:c r="F10" s="33" t="str">
        <x:v>S1: Claude Sonnet 5</x:v>
      </x:c>
      <x:c r="G10" s="33"/>
      <x:c r="H10" s="33"/>
      <x:c r="I10" s="33"/>
      <x:c r="J10" s="33"/>
      <x:c r="K10" s="33"/>
      <x:c r="L10" s="33"/>
    </x:row>
    <x:row r="11" ht="34" customHeight="1">
      <x:c r="A11" s="2"/>
      <x:c r="B11" s="2"/>
      <x:c r="C11" s="32" t="str">
        <x:v>Quality model output, USD / million</x:v>
      </x:c>
      <x:c r="D11" s="30" t="n">
        <x:v>10</x:v>
      </x:c>
      <x:c r="E11" s="3"/>
      <x:c r="F11" s="33" t="str">
        <x:v>S1</x:v>
      </x:c>
      <x:c r="G11" s="33"/>
      <x:c r="H11" s="33"/>
      <x:c r="I11" s="33"/>
      <x:c r="J11" s="33"/>
      <x:c r="K11" s="33"/>
      <x:c r="L11" s="33"/>
    </x:row>
    <x:row r="12" ht="34" customHeight="1">
      <x:c r="A12" s="2"/>
      <x:c r="B12" s="2"/>
      <x:c r="C12" s="32" t="str">
        <x:v>Expert model input, USD / million</x:v>
      </x:c>
      <x:c r="D12" s="30" t="n">
        <x:v>5</x:v>
      </x:c>
      <x:c r="E12" s="3"/>
      <x:c r="F12" s="33" t="str">
        <x:v>S1: Claude Opus 5</x:v>
      </x:c>
      <x:c r="G12" s="33"/>
      <x:c r="H12" s="33"/>
      <x:c r="I12" s="33"/>
      <x:c r="J12" s="33"/>
      <x:c r="K12" s="33"/>
      <x:c r="L12" s="33"/>
    </x:row>
    <x:row r="13" ht="34" customHeight="1">
      <x:c r="A13" s="2"/>
      <x:c r="B13" s="2"/>
      <x:c r="C13" s="32" t="str">
        <x:v>Expert model output, USD / million</x:v>
      </x:c>
      <x:c r="D13" s="30" t="n">
        <x:v>25</x:v>
      </x:c>
      <x:c r="E13" s="3"/>
      <x:c r="F13" s="33" t="str">
        <x:v>S1</x:v>
      </x:c>
      <x:c r="G13" s="33"/>
      <x:c r="H13" s="33"/>
      <x:c r="I13" s="33"/>
      <x:c r="J13" s="33"/>
      <x:c r="K13" s="33"/>
      <x:c r="L13" s="33"/>
    </x:row>
    <x:row r="14" ht="34" customHeight="1">
      <x:c r="A14" s="2"/>
      <x:c r="B14" s="2"/>
      <x:c r="C14" s="32" t="str">
        <x:v>Regional API premium</x:v>
      </x:c>
      <x:c r="D14" s="22" t="n">
        <x:v>0.1</x:v>
      </x:c>
      <x:c r="E14" s="3"/>
      <x:c r="F14" s="33" t="str">
        <x:v>S1: regional partner endpoints</x:v>
      </x:c>
      <x:c r="G14" s="33"/>
      <x:c r="H14" s="33"/>
      <x:c r="I14" s="33"/>
      <x:c r="J14" s="33"/>
      <x:c r="K14" s="33"/>
      <x:c r="L14" s="33"/>
    </x:row>
    <x:row r="15" ht="34" customHeight="1">
      <x:c r="A15" s="2"/>
      <x:c r="B15" s="2"/>
      <x:c r="C15" s="32" t="str">
        <x:v>Retry and rework multiplier</x:v>
      </x:c>
      <x:c r="D15" s="30" t="n">
        <x:v>1.5</x:v>
      </x:c>
      <x:c r="E15" s="3"/>
      <x:c r="F15" s="33" t="str">
        <x:v>Assumption: failed calls, corrections and reruns</x:v>
      </x:c>
      <x:c r="G15" s="33"/>
      <x:c r="H15" s="33"/>
      <x:c r="I15" s="33"/>
      <x:c r="J15" s="33"/>
      <x:c r="K15" s="33"/>
      <x:c r="L15" s="33"/>
    </x:row>
    <x:row r="16" ht="34" customHeight="1">
      <x:c r="A16" s="2"/>
      <x:c r="B16" s="2"/>
      <x:c r="C16" s="32" t="str">
        <x:v>Embedding cost, USD / million tokens</x:v>
      </x:c>
      <x:c r="D16" s="30" t="n">
        <x:v>0.15</x:v>
      </x:c>
      <x:c r="E16" s="3"/>
      <x:c r="F16" s="33" t="str">
        <x:v>S2: embedding/file search rate reference</x:v>
      </x:c>
      <x:c r="G16" s="33"/>
      <x:c r="H16" s="33"/>
      <x:c r="I16" s="33"/>
      <x:c r="J16" s="33"/>
      <x:c r="K16" s="33"/>
      <x:c r="L16" s="33"/>
    </x:row>
    <x:row r="17" ht="34" customHeight="1">
      <x:c r="A17" s="2"/>
      <x:c r="B17" s="2"/>
      <x:c r="C17" s="32" t="str">
        <x:v>Transcription, USD / audio hour</x:v>
      </x:c>
      <x:c r="D17" s="30" t="n">
        <x:v>0.15</x:v>
      </x:c>
      <x:c r="E17" s="3"/>
      <x:c r="F17" s="33" t="str">
        <x:v>S3: Universal-2; language quality must be tested</x:v>
      </x:c>
      <x:c r="G17" s="33"/>
      <x:c r="H17" s="33"/>
      <x:c r="I17" s="33"/>
      <x:c r="J17" s="33"/>
      <x:c r="K17" s="33"/>
      <x:c r="L17" s="33"/>
    </x:row>
    <x:row r="18" ht="34" customHeight="1">
      <x:c r="A18" s="2"/>
      <x:c r="B18" s="2"/>
      <x:c r="C18" s="32" t="str">
        <x:v>H100 SXM training, USD / GPU-hour</x:v>
      </x:c>
      <x:c r="D18" s="30" t="n">
        <x:v>4.29</x:v>
      </x:c>
      <x:c r="E18" s="3"/>
      <x:c r="F18" s="33" t="str">
        <x:v>S4: single-GPU on-demand reference</x:v>
      </x:c>
      <x:c r="G18" s="33"/>
      <x:c r="H18" s="33"/>
      <x:c r="I18" s="33"/>
      <x:c r="J18" s="33"/>
      <x:c r="K18" s="33"/>
      <x:c r="L18" s="33"/>
    </x:row>
    <x:row r="19" ht="34" customHeight="1">
      <x:c r="A19" s="2"/>
      <x:c r="B19" s="2"/>
      <x:c r="C19" s="32" t="str">
        <x:v>A10 local inference, USD / GPU-hour</x:v>
      </x:c>
      <x:c r="D19" s="30" t="n">
        <x:v>1.29</x:v>
      </x:c>
      <x:c r="E19" s="3"/>
      <x:c r="F19" s="33" t="str">
        <x:v>S4: on-demand reference, not an EU quote</x:v>
      </x:c>
      <x:c r="G19" s="33"/>
      <x:c r="H19" s="33"/>
      <x:c r="I19" s="33"/>
      <x:c r="J19" s="33"/>
      <x:c r="K19" s="33"/>
      <x:c r="L19" s="33"/>
    </x:row>
    <x:row r="20" ht="34" customHeight="1">
      <x:c r="A20" s="2"/>
      <x:c r="B20" s="2"/>
      <x:c r="C20" s="32" t="str">
        <x:v>GPU operations and regional uplift</x:v>
      </x:c>
      <x:c r="D20" s="22" t="n">
        <x:v>0.3</x:v>
      </x:c>
      <x:c r="E20" s="3"/>
      <x:c r="F20" s="33" t="str">
        <x:v>Assumption: storage, traffic, orchestration and regional premium</x:v>
      </x:c>
      <x:c r="G20" s="33"/>
      <x:c r="H20" s="33"/>
      <x:c r="I20" s="33"/>
      <x:c r="J20" s="33"/>
      <x:c r="K20" s="33"/>
      <x:c r="L20" s="33"/>
    </x:row>
    <x:row r="21" ht="34" customHeight="1">
      <x:c r="A21" s="2"/>
      <x:c r="B21" s="2"/>
      <x:c r="C21" s="32" t="str">
        <x:v>Local prefill throughput, tokens / second</x:v>
      </x:c>
      <x:c r="D21" s="30" t="n">
        <x:v>4000</x:v>
      </x:c>
      <x:c r="E21" s="3"/>
      <x:c r="F21" s="33" t="str">
        <x:v>Engineering assumption for a small quantized model. Benchmark before committing.</x:v>
      </x:c>
      <x:c r="G21" s="33"/>
      <x:c r="H21" s="33"/>
      <x:c r="I21" s="33"/>
      <x:c r="J21" s="33"/>
      <x:c r="K21" s="33"/>
      <x:c r="L21" s="33"/>
    </x:row>
    <x:row r="22" ht="34" customHeight="1">
      <x:c r="A22" s="2"/>
      <x:c r="B22" s="2"/>
      <x:c r="C22" s="32" t="str">
        <x:v>Local generation throughput, tokens / second</x:v>
      </x:c>
      <x:c r="D22" s="30" t="n">
        <x:v>100</x:v>
      </x:c>
      <x:c r="E22" s="3"/>
      <x:c r="F22" s="33" t="str">
        <x:v>Engineering assumption. Output includes reasoning tokens.</x:v>
      </x:c>
      <x:c r="G22" s="33"/>
      <x:c r="H22" s="33"/>
      <x:c r="I22" s="33"/>
      <x:c r="J22" s="33"/>
      <x:c r="K22" s="33"/>
      <x:c r="L22" s="33"/>
    </x:row>
    <x:row r="23" ht="34" customHeight="1">
      <x:c r="A23" s="2"/>
      <x:c r="B23" s="2"/>
      <x:c r="C23" s="32" t="str">
        <x:v>Effective paid GPU utilisation</x:v>
      </x:c>
      <x:c r="D23" s="22" t="n">
        <x:v>0.35</x:v>
      </x:c>
      <x:c r="E23" s="3"/>
      <x:c r="F23" s="33" t="str">
        <x:v>Assumption: idle capacity and burst headroom included</x:v>
      </x:c>
      <x:c r="G23" s="33"/>
      <x:c r="H23" s="33"/>
      <x:c r="I23" s="33"/>
      <x:c r="J23" s="33"/>
      <x:c r="K23" s="33"/>
      <x:c r="L23" s="33"/>
    </x:row>
    <x:row r="24" ht="34" customHeight="1">
      <x:c r="A24" s="2"/>
      <x:c r="B24" s="2"/>
      <x:c r="C24" s="32" t="str">
        <x:v>Tenant CPU, database, backup / month, EUR</x:v>
      </x:c>
      <x:c r="D24" s="30" t="n">
        <x:v>100</x:v>
      </x:c>
      <x:c r="E24" s="3"/>
      <x:c r="F24" s="33" t="str">
        <x:v>Engineering budget, not a supplier quote. Shared resources allocated per tenant.</x:v>
      </x:c>
      <x:c r="G24" s="33"/>
      <x:c r="H24" s="33"/>
      <x:c r="I24" s="33"/>
      <x:c r="J24" s="33"/>
      <x:c r="K24" s="33"/>
      <x:c r="L24" s="33"/>
    </x:row>
    <x:row r="25" ht="34" customHeight="1">
      <x:c r="A25" s="2"/>
      <x:c r="B25" s="2"/>
      <x:c r="C25" s="32" t="str">
        <x:v>Local tenant CPU and storage / month, EUR</x:v>
      </x:c>
      <x:c r="D25" s="30" t="n">
        <x:v>140</x:v>
      </x:c>
      <x:c r="E25" s="3"/>
      <x:c r="F25" s="33" t="str">
        <x:v>Engineering budget for an isolated runtime. GPU cost is added separately.</x:v>
      </x:c>
      <x:c r="G25" s="33"/>
      <x:c r="H25" s="33"/>
      <x:c r="I25" s="33"/>
      <x:c r="J25" s="33"/>
      <x:c r="K25" s="33"/>
      <x:c r="L25" s="33"/>
    </x:row>
    <x:row r="26" ht="34" customHeight="1">
      <x:c r="A26" s="2"/>
      <x:c r="B26" s="2"/>
      <x:c r="C26" s="32" t="str">
        <x:v>Storage and logs / employee / month, EUR</x:v>
      </x:c>
      <x:c r="D26" s="30" t="n">
        <x:v>0.15</x:v>
      </x:c>
      <x:c r="E26" s="3"/>
      <x:c r="F26" s="33" t="str">
        <x:v>Planning allowance; production measurement required.</x:v>
      </x:c>
      <x:c r="G26" s="33"/>
      <x:c r="H26" s="33"/>
      <x:c r="I26" s="33"/>
      <x:c r="J26" s="33"/>
      <x:c r="K26" s="33"/>
      <x:c r="L26" s="33"/>
    </x:row>
    <x:row r="27" ht="34" customHeight="1">
      <x:c r="A27" s="2"/>
      <x:c r="B27" s="2"/>
      <x:c r="C27" s="32" t="str">
        <x:v>Temporary mapping infra / employee, EUR</x:v>
      </x:c>
      <x:c r="D27" s="30" t="n">
        <x:v>2</x:v>
      </x:c>
      <x:c r="E27" s="3"/>
      <x:c r="F27" s="33" t="str">
        <x:v>One-time burst, indexing, parsing and storage budget.</x:v>
      </x:c>
      <x:c r="G27" s="33"/>
      <x:c r="H27" s="33"/>
      <x:c r="I27" s="33"/>
      <x:c r="J27" s="33"/>
      <x:c r="K27" s="33"/>
      <x:c r="L27" s="33"/>
    </x:row>
    <x:row r="28" ht="34" customHeight="1">
      <x:c r="A28" s="2"/>
      <x:c r="B28" s="2"/>
      <x:c r="C28" s="32" t="str">
        <x:v>Customer adapter GPU-hours per initial map</x:v>
      </x:c>
      <x:c r="D28" s="30" t="n">
        <x:v>32</x:v>
      </x:c>
      <x:c r="E28" s="3"/>
      <x:c r="F28" s="33" t="str">
        <x:v>Applied parameter-efficient tuning where justified; not training from scratch.</x:v>
      </x:c>
      <x:c r="G28" s="33"/>
      <x:c r="H28" s="33"/>
      <x:c r="I28" s="33"/>
      <x:c r="J28" s="33"/>
      <x:c r="K28" s="33"/>
      <x:c r="L28" s="33"/>
    </x:row>
    <x:row r="29" ht="34" customHeight="1">
      <x:c r="A29" s="2"/>
      <x:c r="B29" s="2"/>
      <x:c r="C29" s="32" t="str">
        <x:v>Fraction needing a customer adapter</x:v>
      </x:c>
      <x:c r="D29" s="22" t="n">
        <x:v>0.25</x:v>
      </x:c>
      <x:c r="E29" s="3"/>
      <x:c r="F29" s="33" t="str">
        <x:v>75% use retrieval and company rules. Toggle to test universal adapters.</x:v>
      </x:c>
      <x:c r="G29" s="33"/>
      <x:c r="H29" s="33"/>
      <x:c r="I29" s="33"/>
      <x:c r="J29" s="33"/>
      <x:c r="K29" s="33"/>
      <x:c r="L29" s="33"/>
    </x:row>
    <x:row r="30" ht="25" customHeight="1">
      <x:c r="A30" s="2"/>
      <x:c r="B30" s="2"/>
      <x:c r="C30" s="32"/>
      <x:c r="D30" s="3"/>
      <x:c r="E30" s="3"/>
      <x:c r="F30" s="3"/>
      <x:c r="G30" s="3"/>
      <x:c r="H30" s="3"/>
      <x:c r="I30" s="3"/>
      <x:c r="J30" s="3"/>
      <x:c r="K30" s="3"/>
      <x:c r="L30" s="3"/>
    </x:row>
    <x:row r="31" ht="25" customHeight="1">
      <x:c r="A31" s="2"/>
      <x:c r="B31" s="2"/>
      <x:c r="C31" s="32"/>
      <x:c r="D31" s="3"/>
      <x:c r="E31" s="3"/>
      <x:c r="F31" s="3"/>
      <x:c r="G31" s="3"/>
      <x:c r="H31" s="3"/>
      <x:c r="I31" s="3"/>
      <x:c r="J31" s="3"/>
      <x:c r="K31" s="3"/>
      <x:c r="L31" s="3"/>
    </x:row>
    <x:row r="32" ht="27" customHeight="1">
      <x:c r="A32" s="2"/>
      <x:c r="B32" s="2"/>
      <x:c r="C32" s="61" t="str">
        <x:v>First mapping workload per employee</x:v>
      </x:c>
      <x:c r="D32" s="15"/>
      <x:c r="E32" s="15"/>
      <x:c r="F32" s="15"/>
      <x:c r="G32" s="15"/>
      <x:c r="H32" s="15"/>
      <x:c r="I32" s="15"/>
      <x:c r="J32" s="15"/>
      <x:c r="K32" s="15"/>
      <x:c r="L32" s="3"/>
    </x:row>
    <x:row r="33" ht="25" customHeight="1">
      <x:c r="A33" s="2"/>
      <x:c r="B33" s="2"/>
      <x:c r="C33" s="32" t="str">
        <x:v>Activity</x:v>
      </x:c>
      <x:c r="D33" s="3" t="str">
        <x:v>Calls</x:v>
      </x:c>
      <x:c r="E33" s="3" t="str">
        <x:v>Input / call</x:v>
      </x:c>
      <x:c r="F33" s="3" t="str">
        <x:v>Output / call</x:v>
      </x:c>
      <x:c r="G33" s="3" t="str">
        <x:v>Model</x:v>
      </x:c>
      <x:c r="H33" s="3" t="str">
        <x:v>Cost USD</x:v>
      </x:c>
      <x:c r="I33" s="3"/>
      <x:c r="J33" s="3"/>
      <x:c r="K33" s="3"/>
      <x:c r="L33" s="3"/>
    </x:row>
    <x:row r="34" ht="25" customHeight="1">
      <x:c r="A34" s="2"/>
      <x:c r="B34" s="2"/>
      <x:c r="C34" s="32" t="str">
        <x:v>Adaptive interviews and follow-ups</x:v>
      </x:c>
      <x:c r="D34" s="16" t="n">
        <x:v>100</x:v>
      </x:c>
      <x:c r="E34" s="16" t="n">
        <x:v>16000</x:v>
      </x:c>
      <x:c r="F34" s="16" t="n">
        <x:v>2000</x:v>
      </x:c>
      <x:c r="G34" s="16" t="n">
        <x:v>2</x:v>
      </x:c>
      <x:c r="H34" s="31" t="n">
        <x:f>D34*(E34*IF(G34=1,$D$8,IF(G34=2,$D$10,$D$12))+F34*IF(G34=1,$D$9,IF(G34=2,$D$11,$D$13)))/1000000</x:f>
        <x:v>5.2</x:v>
      </x:c>
      <x:c r="I34" s="3"/>
      <x:c r="J34" s="3"/>
      <x:c r="K34" s="3"/>
      <x:c r="L34" s="3"/>
    </x:row>
    <x:row r="35" ht="25" customHeight="1">
      <x:c r="A35" s="2"/>
      <x:c r="B35" s="2"/>
      <x:c r="C35" s="32" t="str">
        <x:v>Document extraction</x:v>
      </x:c>
      <x:c r="D35" s="16" t="n">
        <x:v>20</x:v>
      </x:c>
      <x:c r="E35" s="16" t="n">
        <x:v>40000</x:v>
      </x:c>
      <x:c r="F35" s="16" t="n">
        <x:v>2000</x:v>
      </x:c>
      <x:c r="G35" s="16" t="n">
        <x:v>1</x:v>
      </x:c>
      <x:c r="H35" s="31" t="n">
        <x:f>D35*(E35*IF(G35=1,$D$8,IF(G35=2,$D$10,$D$12))+F35*IF(G35=1,$D$9,IF(G35=2,$D$11,$D$13)))/1000000</x:f>
        <x:v>1</x:v>
      </x:c>
      <x:c r="I35" s="3"/>
      <x:c r="J35" s="3"/>
      <x:c r="K35" s="3"/>
      <x:c r="L35" s="3"/>
    </x:row>
    <x:row r="36" ht="25" customHeight="1">
      <x:c r="A36" s="2"/>
      <x:c r="B36" s="2"/>
      <x:c r="C36" s="32" t="str">
        <x:v>Work graph and role synthesis</x:v>
      </x:c>
      <x:c r="D36" s="16" t="n">
        <x:v>12</x:v>
      </x:c>
      <x:c r="E36" s="16" t="n">
        <x:v>40000</x:v>
      </x:c>
      <x:c r="F36" s="16" t="n">
        <x:v>4000</x:v>
      </x:c>
      <x:c r="G36" s="16" t="n">
        <x:v>2</x:v>
      </x:c>
      <x:c r="H36" s="31" t="n">
        <x:f>D36*(E36*IF(G36=1,$D$8,IF(G36=2,$D$10,$D$12))+F36*IF(G36=1,$D$9,IF(G36=2,$D$11,$D$13)))/1000000</x:f>
        <x:v>1.44</x:v>
      </x:c>
      <x:c r="I36" s="3"/>
      <x:c r="J36" s="3"/>
      <x:c r="K36" s="3"/>
      <x:c r="L36" s="3"/>
    </x:row>
    <x:row r="37" ht="25" customHeight="1">
      <x:c r="A37" s="2"/>
      <x:c r="B37" s="2"/>
      <x:c r="C37" s="32" t="str">
        <x:v>Independent quality checks</x:v>
      </x:c>
      <x:c r="D37" s="16" t="n">
        <x:v>8</x:v>
      </x:c>
      <x:c r="E37" s="16" t="n">
        <x:v>30000</x:v>
      </x:c>
      <x:c r="F37" s="16" t="n">
        <x:v>6000</x:v>
      </x:c>
      <x:c r="G37" s="16" t="n">
        <x:v>3</x:v>
      </x:c>
      <x:c r="H37" s="31" t="n">
        <x:f>D37*(E37*IF(G37=1,$D$8,IF(G37=2,$D$10,$D$12))+F37*IF(G37=1,$D$9,IF(G37=2,$D$11,$D$13)))/1000000</x:f>
        <x:v>2.4</x:v>
      </x:c>
      <x:c r="I37" s="3"/>
      <x:c r="J37" s="3"/>
      <x:c r="K37" s="3"/>
      <x:c r="L37" s="3"/>
    </x:row>
    <x:row r="38" ht="25" customHeight="1">
      <x:c r="A38" s="2"/>
      <x:c r="B38" s="2"/>
      <x:c r="C38" s="32" t="str">
        <x:v>Employee corrections and final review</x:v>
      </x:c>
      <x:c r="D38" s="16" t="n">
        <x:v>12</x:v>
      </x:c>
      <x:c r="E38" s="16" t="n">
        <x:v>20000</x:v>
      </x:c>
      <x:c r="F38" s="16" t="n">
        <x:v>3000</x:v>
      </x:c>
      <x:c r="G38" s="16" t="n">
        <x:v>2</x:v>
      </x:c>
      <x:c r="H38" s="31" t="n">
        <x:f>D38*(E38*IF(G38=1,$D$8,IF(G38=2,$D$10,$D$12))+F38*IF(G38=1,$D$9,IF(G38=2,$D$11,$D$13)))/1000000</x:f>
        <x:v>0.84</x:v>
      </x:c>
      <x:c r="I38" s="3"/>
      <x:c r="J38" s="3"/>
      <x:c r="K38" s="3"/>
      <x:c r="L38" s="3"/>
    </x:row>
    <x:row r="39" ht="25" customHeight="1">
      <x:c r="A39" s="2"/>
      <x:c r="B39" s="2"/>
      <x:c r="C39" s="32"/>
      <x:c r="D39" s="3"/>
      <x:c r="E39" s="3"/>
      <x:c r="F39" s="3"/>
      <x:c r="G39" s="3"/>
      <x:c r="H39" s="31"/>
      <x:c r="I39" s="3"/>
      <x:c r="J39" s="3"/>
      <x:c r="K39" s="3"/>
      <x:c r="L39" s="3"/>
    </x:row>
    <x:row r="40" ht="25" customHeight="1">
      <x:c r="A40" s="2"/>
      <x:c r="B40" s="2"/>
      <x:c r="C40" s="60" t="str">
        <x:v>Raw mapping LLM cost, USD</x:v>
      </x:c>
      <x:c r="D40" s="40"/>
      <x:c r="E40" s="40"/>
      <x:c r="F40" s="40"/>
      <x:c r="G40" s="40"/>
      <x:c r="H40" s="42" t="n">
        <x:f>SUM(H34:H38)</x:f>
        <x:v>10.88</x:v>
      </x:c>
      <x:c r="I40" s="3"/>
      <x:c r="J40" s="3"/>
      <x:c r="K40" s="3"/>
      <x:c r="L40" s="3"/>
    </x:row>
    <x:row r="41" ht="25" customHeight="1">
      <x:c r="A41" s="2"/>
      <x:c r="B41" s="2"/>
      <x:c r="C41" s="32"/>
      <x:c r="D41" s="3"/>
      <x:c r="E41" s="3"/>
      <x:c r="F41" s="3"/>
      <x:c r="G41" s="3"/>
      <x:c r="H41" s="3"/>
      <x:c r="I41" s="3"/>
      <x:c r="J41" s="3"/>
      <x:c r="K41" s="3"/>
      <x:c r="L41" s="3"/>
    </x:row>
    <x:row r="42" ht="25" customHeight="1">
      <x:c r="A42" s="2"/>
      <x:c r="B42" s="2"/>
      <x:c r="C42" s="32" t="str">
        <x:v>Embedding tokens / new employee</x:v>
      </x:c>
      <x:c r="D42" s="30" t="n">
        <x:v>2000000</x:v>
      </x:c>
      <x:c r="E42" s="3"/>
      <x:c r="F42" s="3"/>
      <x:c r="G42" s="3"/>
      <x:c r="H42" s="3"/>
      <x:c r="I42" s="3"/>
      <x:c r="J42" s="3"/>
      <x:c r="K42" s="3"/>
      <x:c r="L42" s="3"/>
    </x:row>
    <x:row r="43" ht="25" customHeight="1">
      <x:c r="A43" s="2"/>
      <x:c r="B43" s="2"/>
      <x:c r="C43" s="32" t="str">
        <x:v>Audio hours / new employee</x:v>
      </x:c>
      <x:c r="D43" s="30" t="n">
        <x:v>0.75</x:v>
      </x:c>
      <x:c r="E43" s="3"/>
      <x:c r="F43" s="3"/>
      <x:c r="G43" s="3"/>
      <x:c r="H43" s="3"/>
      <x:c r="I43" s="3"/>
      <x:c r="J43" s="3"/>
      <x:c r="K43" s="3"/>
      <x:c r="L43" s="3"/>
    </x:row>
    <x:row r="44" ht="25" customHeight="1">
      <x:c r="A44" s="2"/>
      <x:c r="B44" s="2"/>
      <x:c r="C44" s="32" t="str">
        <x:v>Live Map calls / employee / month</x:v>
      </x:c>
      <x:c r="D44" s="30" t="n">
        <x:v>4</x:v>
      </x:c>
      <x:c r="E44" s="3"/>
      <x:c r="F44" s="3"/>
      <x:c r="G44" s="3"/>
      <x:c r="H44" s="3"/>
      <x:c r="I44" s="3"/>
      <x:c r="J44" s="3"/>
      <x:c r="K44" s="3"/>
      <x:c r="L44" s="3"/>
    </x:row>
    <x:row r="45" ht="25" customHeight="1">
      <x:c r="A45" s="2"/>
      <x:c r="B45" s="2"/>
      <x:c r="C45" s="32" t="str">
        <x:v>Input tokens per live call</x:v>
      </x:c>
      <x:c r="D45" s="30" t="n">
        <x:v>8000</x:v>
      </x:c>
      <x:c r="E45" s="3"/>
      <x:c r="F45" s="3"/>
      <x:c r="G45" s="3"/>
      <x:c r="H45" s="3"/>
      <x:c r="I45" s="3"/>
      <x:c r="J45" s="3"/>
      <x:c r="K45" s="3"/>
      <x:c r="L45" s="3"/>
    </x:row>
    <x:row r="46" ht="25" customHeight="1">
      <x:c r="A46" s="2"/>
      <x:c r="B46" s="2"/>
      <x:c r="C46" s="32" t="str">
        <x:v>Output tokens per live call</x:v>
      </x:c>
      <x:c r="D46" s="30" t="n">
        <x:v>1000</x:v>
      </x:c>
      <x:c r="E46" s="3"/>
      <x:c r="F46" s="3"/>
      <x:c r="G46" s="3"/>
      <x:c r="H46" s="3"/>
      <x:c r="I46" s="3"/>
      <x:c r="J46" s="3"/>
      <x:c r="K46" s="3"/>
      <x:c r="L46" s="3"/>
    </x:row>
    <x:row r="47" ht="25" customHeight="1">
      <x:c r="A47" s="2"/>
      <x:c r="B47" s="2"/>
      <x:c r="C47" s="32" t="str">
        <x:v>Quality model share of live calls</x:v>
      </x:c>
      <x:c r="D47" s="30" t="n">
        <x:v>0.2</x:v>
      </x:c>
      <x:c r="E47" s="3"/>
      <x:c r="F47" s="3"/>
      <x:c r="G47" s="3"/>
      <x:c r="H47" s="3"/>
      <x:c r="I47" s="3"/>
      <x:c r="J47" s="3"/>
      <x:c r="K47" s="3"/>
      <x:c r="L47" s="3"/>
    </x:row>
    <x:row r="48" ht="25" customHeight="1">
      <x:c r="A48" s="2"/>
      <x:c r="B48" s="2"/>
      <x:c r="C48" s="32" t="str">
        <x:v>Design usage multiple of Map</x:v>
      </x:c>
      <x:c r="D48" s="30" t="n">
        <x:v>2</x:v>
      </x:c>
      <x:c r="E48" s="3"/>
      <x:c r="F48" s="3"/>
      <x:c r="G48" s="3"/>
      <x:c r="H48" s="3"/>
      <x:c r="I48" s="3"/>
      <x:c r="J48" s="3"/>
      <x:c r="K48" s="3"/>
      <x:c r="L48" s="3"/>
    </x:row>
    <x:row r="49" ht="25" customHeight="1">
      <x:c r="A49" s="2"/>
      <x:c r="B49" s="2"/>
      <x:c r="C49" s="32" t="str">
        <x:v>Connected usage multiple of Map</x:v>
      </x:c>
      <x:c r="D49" s="30" t="n">
        <x:v>4</x:v>
      </x:c>
      <x:c r="E49" s="3"/>
      <x:c r="F49" s="3"/>
      <x:c r="G49" s="3"/>
      <x:c r="H49" s="3"/>
      <x:c r="I49" s="3"/>
      <x:c r="J49" s="3"/>
      <x:c r="K49" s="3"/>
      <x:c r="L49" s="3"/>
    </x:row>
    <x:row r="50" ht="25" customHeight="1">
      <x:c r="A50" s="2"/>
      <x:c r="B50" s="2"/>
      <x:c r="C50" s="32" t="str">
        <x:v>Refresh mapping equivalents / employee / year</x:v>
      </x:c>
      <x:c r="D50" s="30" t="n">
        <x:v>0.15</x:v>
      </x:c>
      <x:c r="E50" s="3"/>
      <x:c r="F50" s="3"/>
      <x:c r="G50" s="3"/>
      <x:c r="H50" s="3"/>
      <x:c r="I50" s="3"/>
      <x:c r="J50" s="3"/>
      <x:c r="K50" s="3"/>
      <x:c r="L50" s="3"/>
    </x:row>
    <x:row r="51" ht="25" customHeight="1">
      <x:c r="A51" s="2"/>
      <x:c r="B51" s="2"/>
      <x:c r="C51" s="32"/>
      <x:c r="D51" s="30"/>
      <x:c r="E51" s="3"/>
      <x:c r="F51" s="3"/>
      <x:c r="G51" s="3"/>
      <x:c r="H51" s="3"/>
      <x:c r="I51" s="3"/>
      <x:c r="J51" s="3"/>
      <x:c r="K51" s="3"/>
      <x:c r="L51" s="3"/>
    </x:row>
    <x:row r="52" ht="25" customHeight="1">
      <x:c r="A52" s="2"/>
      <x:c r="B52" s="2"/>
      <x:c r="C52" s="32"/>
      <x:c r="D52" s="3"/>
      <x:c r="E52" s="3"/>
      <x:c r="F52" s="3"/>
      <x:c r="G52" s="3"/>
      <x:c r="H52" s="3"/>
      <x:c r="I52" s="3"/>
      <x:c r="J52" s="3"/>
      <x:c r="K52" s="3"/>
      <x:c r="L52" s="3"/>
    </x:row>
    <x:row r="53" ht="25" customHeight="1">
      <x:c r="A53" s="2"/>
      <x:c r="B53" s="2"/>
      <x:c r="C53" s="32"/>
      <x:c r="D53" s="3"/>
      <x:c r="E53" s="3"/>
      <x:c r="F53" s="3"/>
      <x:c r="G53" s="3"/>
      <x:c r="H53" s="3"/>
      <x:c r="I53" s="3"/>
      <x:c r="J53" s="3"/>
      <x:c r="K53" s="3"/>
      <x:c r="L53" s="3"/>
    </x:row>
    <x:row r="54" ht="27" customHeight="1">
      <x:c r="A54" s="2"/>
      <x:c r="B54" s="2"/>
      <x:c r="C54" s="61" t="str">
        <x:v>Calculated costs. EUR unless stated</x:v>
      </x:c>
      <x:c r="D54" s="15"/>
      <x:c r="E54" s="15"/>
      <x:c r="F54" s="15"/>
      <x:c r="G54" s="15"/>
      <x:c r="H54" s="15"/>
      <x:c r="I54" s="3"/>
      <x:c r="J54" s="3"/>
      <x:c r="K54" s="3"/>
      <x:c r="L54" s="3"/>
    </x:row>
    <x:row r="55" ht="25" customHeight="1">
      <x:c r="A55" s="2"/>
      <x:c r="B55" s="2"/>
      <x:c r="C55" s="63"/>
      <x:c r="D55" s="9" t="str">
        <x:v>2026 Q4</x:v>
      </x:c>
      <x:c r="E55" s="9" t="n">
        <x:v>2027</x:v>
      </x:c>
      <x:c r="F55" s="9" t="n">
        <x:v>2028</x:v>
      </x:c>
      <x:c r="G55" s="9" t="n">
        <x:v>2029</x:v>
      </x:c>
      <x:c r="H55" s="9" t="n">
        <x:v>2030</x:v>
      </x:c>
      <x:c r="I55" s="3"/>
      <x:c r="J55" s="3"/>
      <x:c r="K55" s="3"/>
      <x:c r="L55" s="3"/>
    </x:row>
    <x:row r="56" ht="34" customHeight="1">
      <x:c r="A56" s="2"/>
      <x:c r="B56" s="2"/>
      <x:c r="C56" s="32" t="str">
        <x:v>Mapping inference and review / employee</x:v>
      </x:c>
      <x:c r="D56" s="53" t="n">
        <x:f>$H$40*$D$15*(1+$D$14)*'Inputs'!D114*'Inputs'!D181</x:f>
        <x:v>15.618240000000002</x:v>
      </x:c>
      <x:c r="E56" s="53" t="n">
        <x:f>$H$40*$D$15*(1+$D$14)*'Inputs'!E114*'Inputs'!E181</x:f>
        <x:v>15.618240000000002</x:v>
      </x:c>
      <x:c r="F56" s="53" t="n">
        <x:f>$H$40*$D$15*(1+$D$14)*'Inputs'!F114*'Inputs'!F181</x:f>
        <x:v>14.056416</x:v>
      </x:c>
      <x:c r="G56" s="53" t="n">
        <x:f>$H$40*$D$15*(1+$D$14)*'Inputs'!G114*'Inputs'!G181</x:f>
        <x:v>12.494592000000003</x:v>
      </x:c>
      <x:c r="H56" s="53" t="n">
        <x:f>$H$40*$D$15*(1+$D$14)*'Inputs'!H114*'Inputs'!H181</x:f>
        <x:v>11.713680000000002</x:v>
      </x:c>
      <x:c r="I56" s="3"/>
      <x:c r="J56" s="3"/>
      <x:c r="K56" s="3"/>
      <x:c r="L56" s="3"/>
    </x:row>
    <x:row r="57" ht="34" customHeight="1">
      <x:c r="A57" s="2"/>
      <x:c r="B57" s="2"/>
      <x:c r="C57" s="32" t="str">
        <x:v>Embedding and audio / employee</x:v>
      </x:c>
      <x:c r="D57" s="53" t="n">
        <x:f>($D$42*$D$16/1000000+$D$43*$D$17)*'Inputs'!D181</x:f>
        <x:v>0.358875</x:v>
      </x:c>
      <x:c r="E57" s="53" t="n">
        <x:f>($D$42*$D$16/1000000+$D$43*$D$17)*'Inputs'!E181</x:f>
        <x:v>0.358875</x:v>
      </x:c>
      <x:c r="F57" s="53" t="n">
        <x:f>($D$42*$D$16/1000000+$D$43*$D$17)*'Inputs'!F181</x:f>
        <x:v>0.358875</x:v>
      </x:c>
      <x:c r="G57" s="53" t="n">
        <x:f>($D$42*$D$16/1000000+$D$43*$D$17)*'Inputs'!G181</x:f>
        <x:v>0.358875</x:v>
      </x:c>
      <x:c r="H57" s="53" t="n">
        <x:f>($D$42*$D$16/1000000+$D$43*$D$17)*'Inputs'!H181</x:f>
        <x:v>0.358875</x:v>
      </x:c>
      <x:c r="I57" s="3"/>
      <x:c r="J57" s="3"/>
      <x:c r="K57" s="3"/>
      <x:c r="L57" s="3"/>
    </x:row>
    <x:row r="58" ht="34" customHeight="1">
      <x:c r="A58" s="2"/>
      <x:c r="B58" s="2"/>
      <x:c r="C58" s="32" t="str">
        <x:v>Temporary mapping infrastructure / employee</x:v>
      </x:c>
      <x:c r="D58" s="43" t="n">
        <x:f>$D$27</x:f>
        <x:v>2</x:v>
      </x:c>
      <x:c r="E58" s="43" t="n">
        <x:f>$D$27</x:f>
        <x:v>2</x:v>
      </x:c>
      <x:c r="F58" s="43" t="n">
        <x:f>$D$27</x:f>
        <x:v>2</x:v>
      </x:c>
      <x:c r="G58" s="43" t="n">
        <x:f>$D$27</x:f>
        <x:v>2</x:v>
      </x:c>
      <x:c r="H58" s="43" t="n">
        <x:f>$D$27</x:f>
        <x:v>2</x:v>
      </x:c>
      <x:c r="I58" s="3"/>
      <x:c r="J58" s="3"/>
      <x:c r="K58" s="3"/>
      <x:c r="L58" s="3"/>
    </x:row>
    <x:row r="59" ht="34" customHeight="1">
      <x:c r="A59" s="2"/>
      <x:c r="B59" s="2"/>
      <x:c r="C59" s="32" t="str">
        <x:v>Customer adapter / employee, allocated</x:v>
      </x:c>
      <x:c r="D59" s="53" t="n">
        <x:f>$D$28*$D$29*$D$18*(1+$D$20)*'Inputs'!D181/'Pricing'!D34</x:f>
        <x:v>0.3881592</x:v>
      </x:c>
      <x:c r="E59" s="53" t="n">
        <x:f>$D$28*$D$29*$D$18*(1+$D$20)*'Inputs'!E181/'Pricing'!E34</x:f>
        <x:v>0.23524799999999998</x:v>
      </x:c>
      <x:c r="F59" s="53" t="n">
        <x:f>$D$28*$D$29*$D$18*(1+$D$20)*'Inputs'!F181/'Pricing'!F34</x:f>
        <x:v>0.132704</x:v>
      </x:c>
      <x:c r="G59" s="53" t="n">
        <x:f>$D$28*$D$29*$D$18*(1+$D$20)*'Inputs'!G181/'Pricing'!G34</x:f>
        <x:v>0.1194336</x:v>
      </x:c>
      <x:c r="H59" s="53" t="n">
        <x:f>$D$28*$D$29*$D$18*(1+$D$20)*'Inputs'!H181/'Pricing'!H34</x:f>
        <x:v>0.09133157647058823</x:v>
      </x:c>
      <x:c r="I59" s="3"/>
      <x:c r="J59" s="3"/>
      <x:c r="K59" s="3"/>
      <x:c r="L59" s="3"/>
    </x:row>
    <x:row r="60" ht="34" customHeight="1">
      <x:c r="A60" s="2"/>
      <x:c r="B60" s="2"/>
      <x:c r="C60" s="60" t="str">
        <x:v>First mapping compute / employee, EUR</x:v>
      </x:c>
      <x:c r="D60" s="45" t="n">
        <x:f>SUM(D56:D59)</x:f>
        <x:v>18.3652742</x:v>
      </x:c>
      <x:c r="E60" s="45" t="n">
        <x:f>SUM(E56:E59)</x:f>
        <x:v>18.212363</x:v>
      </x:c>
      <x:c r="F60" s="45" t="n">
        <x:f>SUM(F56:F59)</x:f>
        <x:v>16.547995</x:v>
      </x:c>
      <x:c r="G60" s="45" t="n">
        <x:f>SUM(G56:G59)</x:f>
        <x:v>14.972900600000003</x:v>
      </x:c>
      <x:c r="H60" s="45" t="n">
        <x:f>SUM(H56:H59)</x:f>
        <x:v>14.16388657647059</x:v>
      </x:c>
      <x:c r="I60" s="3"/>
      <x:c r="J60" s="3"/>
      <x:c r="K60" s="3"/>
      <x:c r="L60" s="3"/>
    </x:row>
    <x:row r="61" ht="34" customHeight="1">
      <x:c r="A61" s="2"/>
      <x:c r="B61" s="2"/>
      <x:c r="C61" s="60" t="str">
        <x:v>First mapping compute / employee, DKK</x:v>
      </x:c>
      <x:c r="D61" s="54" t="n">
        <x:f>D60*'Inputs'!D179</x:f>
        <x:v>137.01192433619602</x:v>
      </x:c>
      <x:c r="E61" s="54" t="n">
        <x:f>E60*'Inputs'!E179</x:f>
        <x:v>135.87114867794</x:v>
      </x:c>
      <x:c r="F61" s="54" t="n">
        <x:f>F60*'Inputs'!F179</x:f>
        <x:v>123.4543309381</x:v>
      </x:c>
      <x:c r="G61" s="54" t="n">
        <x:f>G60*'Inputs'!G179</x:f>
        <x:v>111.70352817822801</x:v>
      </x:c>
      <x:c r="H61" s="54" t="n">
        <x:f>H60*'Inputs'!H179</x:f>
        <x:v>105.66797613736966</x:v>
      </x:c>
      <x:c r="I61" s="3"/>
      <x:c r="J61" s="3"/>
      <x:c r="K61" s="3"/>
      <x:c r="L61" s="3"/>
    </x:row>
    <x:row r="62" ht="34" customHeight="1">
      <x:c r="A62" s="2"/>
      <x:c r="B62" s="2"/>
      <x:c r="C62" s="32"/>
      <x:c r="D62" s="43"/>
      <x:c r="E62" s="43"/>
      <x:c r="F62" s="43"/>
      <x:c r="G62" s="43"/>
      <x:c r="H62" s="43"/>
      <x:c r="I62" s="3"/>
      <x:c r="J62" s="3"/>
      <x:c r="K62" s="3"/>
      <x:c r="L62" s="3"/>
    </x:row>
    <x:row r="63" ht="34" customHeight="1">
      <x:c r="A63" s="2"/>
      <x:c r="B63" s="2"/>
      <x:c r="C63" s="32" t="str">
        <x:v>API live calls / employee / month, EUR</x:v>
      </x:c>
      <x:c r="D63" s="53" t="n">
        <x:f>$D$44*($D$45*($D$8*(1-$D$47)+$D$10*$D$47)+$D$46*($D$9*(1-$D$47)+$D$11*$D$47))/1000000*$D$15*(1+$D$14)*'Inputs'!D181*'Inputs'!D119</x:f>
        <x:v>0.08957520000000001</x:v>
      </x:c>
      <x:c r="E63" s="53" t="n">
        <x:f>$D$44*($D$45*($D$8*(1-$D$47)+$D$10*$D$47)+$D$46*($D$9*(1-$D$47)+$D$11*$D$47))/1000000*$D$15*(1+$D$14)*'Inputs'!E181*'Inputs'!E119</x:f>
        <x:v>0.08957520000000001</x:v>
      </x:c>
      <x:c r="F63" s="53" t="n">
        <x:f>$D$44*($D$45*($D$8*(1-$D$47)+$D$10*$D$47)+$D$46*($D$9*(1-$D$47)+$D$11*$D$47))/1000000*$D$15*(1+$D$14)*'Inputs'!F181*'Inputs'!F119</x:f>
        <x:v>0.08957520000000001</x:v>
      </x:c>
      <x:c r="G63" s="53" t="n">
        <x:f>$D$44*($D$45*($D$8*(1-$D$47)+$D$10*$D$47)+$D$46*($D$9*(1-$D$47)+$D$11*$D$47))/1000000*$D$15*(1+$D$14)*'Inputs'!G181*'Inputs'!G119</x:f>
        <x:v>0.08957520000000001</x:v>
      </x:c>
      <x:c r="H63" s="53" t="n">
        <x:f>$D$44*($D$45*($D$8*(1-$D$47)+$D$10*$D$47)+$D$46*($D$9*(1-$D$47)+$D$11*$D$47))/1000000*$D$15*(1+$D$14)*'Inputs'!H181*'Inputs'!H119</x:f>
        <x:v>0.08957520000000001</x:v>
      </x:c>
      <x:c r="I63" s="3"/>
      <x:c r="J63" s="3"/>
      <x:c r="K63" s="3"/>
      <x:c r="L63" s="3"/>
    </x:row>
    <x:row r="64" ht="34" customHeight="1">
      <x:c r="A64" s="2"/>
      <x:c r="B64" s="2"/>
      <x:c r="C64" s="32" t="str">
        <x:v>Local GPU live calls / employee / month, EUR</x:v>
      </x:c>
      <x:c r="D64" s="53" t="n">
        <x:f>$D$44*($D$45/$D$21+$D$46/$D$22)/3600/$D$23*$D$19*(1+$D$20)*'Inputs'!D181*'Inputs'!D119</x:f>
        <x:v>0.05558057142857144</x:v>
      </x:c>
      <x:c r="E64" s="53" t="n">
        <x:f>$D$44*($D$45/$D$21+$D$46/$D$22)/3600/$D$23*$D$19*(1+$D$20)*'Inputs'!E181*'Inputs'!E119</x:f>
        <x:v>0.05558057142857144</x:v>
      </x:c>
      <x:c r="F64" s="53" t="n">
        <x:f>$D$44*($D$45/$D$21+$D$46/$D$22)/3600/$D$23*$D$19*(1+$D$20)*'Inputs'!F181*'Inputs'!F119</x:f>
        <x:v>0.05558057142857144</x:v>
      </x:c>
      <x:c r="G64" s="53" t="n">
        <x:f>$D$44*($D$45/$D$21+$D$46/$D$22)/3600/$D$23*$D$19*(1+$D$20)*'Inputs'!G181*'Inputs'!G119</x:f>
        <x:v>0.05558057142857144</x:v>
      </x:c>
      <x:c r="H64" s="53" t="n">
        <x:f>$D$44*($D$45/$D$21+$D$46/$D$22)/3600/$D$23*$D$19*(1+$D$20)*'Inputs'!H181*'Inputs'!H119</x:f>
        <x:v>0.05558057142857144</x:v>
      </x:c>
      <x:c r="I64" s="3"/>
      <x:c r="J64" s="3"/>
      <x:c r="K64" s="3"/>
      <x:c r="L64" s="3"/>
    </x:row>
    <x:row r="65" ht="34" customHeight="1">
      <x:c r="A65" s="2"/>
      <x:c r="B65" s="2"/>
      <x:c r="C65" s="32" t="str">
        <x:v>Blended live Map calls / employee / year</x:v>
      </x:c>
      <x:c r="D65" s="53" t="n">
        <x:f>(D63*(1-'Inputs'!D124)+D64*'Inputs'!D124*'Inputs'!D129)*12</x:f>
        <x:v>1.0749024</x:v>
      </x:c>
      <x:c r="E65" s="53" t="n">
        <x:f>(E63*(1-'Inputs'!E124)+E64*'Inputs'!E124*'Inputs'!E129)*12</x:f>
        <x:v>1.0749024</x:v>
      </x:c>
      <x:c r="F65" s="53" t="n">
        <x:f>(F63*(1-'Inputs'!F124)+F64*'Inputs'!F124*'Inputs'!F129)*12</x:f>
        <x:v>0.9933152914285716</x:v>
      </x:c>
      <x:c r="G65" s="53" t="n">
        <x:f>(G63*(1-'Inputs'!G124)+G64*'Inputs'!G124*'Inputs'!G129)*12</x:f>
        <x:v>0.8709346285714287</x:v>
      </x:c>
      <x:c r="H65" s="53" t="n">
        <x:f>(H63*(1-'Inputs'!H124)+H64*'Inputs'!H124*'Inputs'!H129)*12</x:f>
        <x:v>0.7893475200000002</x:v>
      </x:c>
      <x:c r="I65" s="3"/>
      <x:c r="J65" s="3"/>
      <x:c r="K65" s="3"/>
      <x:c r="L65" s="3"/>
    </x:row>
    <x:row r="66" ht="34" customHeight="1">
      <x:c r="A66" s="2"/>
      <x:c r="B66" s="2"/>
      <x:c r="C66" s="32" t="str">
        <x:v>Map refresh cost / employee / year</x:v>
      </x:c>
      <x:c r="D66" s="43" t="n">
        <x:f>(D56+D57)*$D$50</x:f>
        <x:v>2.39656725</x:v>
      </x:c>
      <x:c r="E66" s="43" t="n">
        <x:f>(E56+E57)*$D$50</x:f>
        <x:v>2.39656725</x:v>
      </x:c>
      <x:c r="F66" s="43" t="n">
        <x:f>(F56+F57)*$D$50</x:f>
        <x:v>2.16229365</x:v>
      </x:c>
      <x:c r="G66" s="43" t="n">
        <x:f>(G56+G57)*$D$50</x:f>
        <x:v>1.9280200500000002</x:v>
      </x:c>
      <x:c r="H66" s="43" t="n">
        <x:f>(H56+H57)*$D$50</x:f>
        <x:v>1.81088325</x:v>
      </x:c>
      <x:c r="I66" s="3"/>
      <x:c r="J66" s="3"/>
      <x:c r="K66" s="3"/>
      <x:c r="L66" s="3"/>
    </x:row>
    <x:row r="67" ht="34" customHeight="1">
      <x:c r="A67" s="2"/>
      <x:c r="B67" s="2"/>
      <x:c r="C67" s="32" t="str">
        <x:v>Storage and logs / employee / year</x:v>
      </x:c>
      <x:c r="D67" s="43" t="n">
        <x:f>$D$26*12</x:f>
        <x:v>1.7999999999999998</x:v>
      </x:c>
      <x:c r="E67" s="43" t="n">
        <x:f>$D$26*12</x:f>
        <x:v>1.7999999999999998</x:v>
      </x:c>
      <x:c r="F67" s="43" t="n">
        <x:f>$D$26*12</x:f>
        <x:v>1.7999999999999998</x:v>
      </x:c>
      <x:c r="G67" s="43" t="n">
        <x:f>$D$26*12</x:f>
        <x:v>1.7999999999999998</x:v>
      </x:c>
      <x:c r="H67" s="43" t="n">
        <x:f>$D$26*12</x:f>
        <x:v>1.7999999999999998</x:v>
      </x:c>
      <x:c r="I67" s="3"/>
      <x:c r="J67" s="3"/>
      <x:c r="K67" s="3"/>
      <x:c r="L67" s="3"/>
    </x:row>
    <x:row r="68" ht="34" customHeight="1">
      <x:c r="A68" s="2"/>
      <x:c r="B68" s="2"/>
      <x:c r="C68" s="60" t="str">
        <x:v>Map recurring variable cost / employee / year</x:v>
      </x:c>
      <x:c r="D68" s="45" t="n">
        <x:f>SUM(D65:D67)</x:f>
        <x:v>5.27146965</x:v>
      </x:c>
      <x:c r="E68" s="45" t="n">
        <x:f>SUM(E65:E67)</x:f>
        <x:v>5.27146965</x:v>
      </x:c>
      <x:c r="F68" s="45" t="n">
        <x:f>SUM(F65:F67)</x:f>
        <x:v>4.955608941428571</x:v>
      </x:c>
      <x:c r="G68" s="45" t="n">
        <x:f>SUM(G65:G67)</x:f>
        <x:v>4.598954678571429</x:v>
      </x:c>
      <x:c r="H68" s="45" t="n">
        <x:f>SUM(H65:H67)</x:f>
        <x:v>4.40023077</x:v>
      </x:c>
      <x:c r="I68" s="3"/>
      <x:c r="J68" s="3"/>
      <x:c r="K68" s="3"/>
      <x:c r="L68" s="3"/>
    </x:row>
    <x:row r="69" ht="34" customHeight="1">
      <x:c r="A69" s="2"/>
      <x:c r="B69" s="2"/>
      <x:c r="C69" s="32" t="str">
        <x:v>Design recurring variable cost / employee / year</x:v>
      </x:c>
      <x:c r="D69" s="43" t="n">
        <x:f>D65*$D$48+D66+D67</x:f>
        <x:v>6.34637205</x:v>
      </x:c>
      <x:c r="E69" s="43" t="n">
        <x:f>E65*$D$48+E66+E67</x:f>
        <x:v>6.34637205</x:v>
      </x:c>
      <x:c r="F69" s="43" t="n">
        <x:f>F65*$D$48+F66+F67</x:f>
        <x:v>5.948924232857143</x:v>
      </x:c>
      <x:c r="G69" s="43" t="n">
        <x:f>G65*$D$48+G66+G67</x:f>
        <x:v>5.469889307142857</x:v>
      </x:c>
      <x:c r="H69" s="43" t="n">
        <x:f>H65*$D$48+H66+H67</x:f>
        <x:v>5.18957829</x:v>
      </x:c>
      <x:c r="I69" s="3"/>
      <x:c r="J69" s="3"/>
      <x:c r="K69" s="3"/>
      <x:c r="L69" s="3"/>
    </x:row>
    <x:row r="70" ht="34" customHeight="1">
      <x:c r="A70" s="2"/>
      <x:c r="B70" s="2"/>
      <x:c r="C70" s="60" t="str">
        <x:v>Connected recurring variable cost / employee / year</x:v>
      </x:c>
      <x:c r="D70" s="45" t="n">
        <x:f>D65*$D$49+D66+D67</x:f>
        <x:v>8.496176850000001</x:v>
      </x:c>
      <x:c r="E70" s="45" t="n">
        <x:f>E65*$D$49+E66+E67</x:f>
        <x:v>8.496176850000001</x:v>
      </x:c>
      <x:c r="F70" s="45" t="n">
        <x:f>F65*$D$49+F66+F67</x:f>
        <x:v>7.935554815714286</x:v>
      </x:c>
      <x:c r="G70" s="45" t="n">
        <x:f>G65*$D$49+G66+G67</x:f>
        <x:v>7.211758564285715</x:v>
      </x:c>
      <x:c r="H70" s="45" t="n">
        <x:f>H65*$D$49+H66+H67</x:f>
        <x:v>6.76827333</x:v>
      </x:c>
      <x:c r="I70" s="3"/>
      <x:c r="J70" s="3"/>
      <x:c r="K70" s="3"/>
      <x:c r="L70" s="3"/>
    </x:row>
    <x:row r="71" ht="34" customHeight="1">
      <x:c r="A71" s="2"/>
      <x:c r="B71" s="2"/>
      <x:c r="C71" s="32" t="str">
        <x:v>Tenant fixed infrastructure / year</x:v>
      </x:c>
      <x:c r="D71" s="53" t="n">
        <x:f>($D$24*(1-'Inputs'!D124)+$D$25*'Inputs'!D124*'Inputs'!D129)*12</x:f>
        <x:v>1200</x:v>
      </x:c>
      <x:c r="E71" s="53" t="n">
        <x:f>($D$24*(1-'Inputs'!E124)+$D$25*'Inputs'!E124*'Inputs'!E129)*12</x:f>
        <x:v>1200</x:v>
      </x:c>
      <x:c r="F71" s="53" t="n">
        <x:f>($D$24*(1-'Inputs'!F124)+$D$25*'Inputs'!F124*'Inputs'!F129)*12</x:f>
        <x:v>1296</x:v>
      </x:c>
      <x:c r="G71" s="53" t="n">
        <x:f>($D$24*(1-'Inputs'!G124)+$D$25*'Inputs'!G124*'Inputs'!G129)*12</x:f>
        <x:v>1440</x:v>
      </x:c>
      <x:c r="H71" s="53" t="n">
        <x:f>($D$24*(1-'Inputs'!H124)+$D$25*'Inputs'!H124*'Inputs'!H129)*12</x:f>
        <x:v>1536</x:v>
      </x:c>
      <x:c r="I71" s="3"/>
      <x:c r="J71" s="3"/>
      <x:c r="K71" s="3"/>
      <x:c r="L71" s="3"/>
    </x:row>
    <x:row r="72" ht="34" customHeight="1">
      <x:c r="A72" s="2"/>
      <x:c r="B72" s="2"/>
      <x:c r="C72" s="32" t="str">
        <x:v>Customer-borne local fixed infra / tenant / year</x:v>
      </x:c>
      <x:c r="D72" s="53" t="n">
        <x:f>$D$25*12*'Inputs'!D124*(1-'Inputs'!D129)</x:f>
        <x:v>0</x:v>
      </x:c>
      <x:c r="E72" s="53" t="n">
        <x:f>$D$25*12*'Inputs'!E124*(1-'Inputs'!E129)</x:f>
        <x:v>0</x:v>
      </x:c>
      <x:c r="F72" s="53" t="n">
        <x:f>$D$25*12*'Inputs'!F124*(1-'Inputs'!F129)</x:f>
        <x:v>0</x:v>
      </x:c>
      <x:c r="G72" s="53" t="n">
        <x:f>$D$25*12*'Inputs'!G124*(1-'Inputs'!G129)</x:f>
        <x:v>0</x:v>
      </x:c>
      <x:c r="H72" s="53" t="n">
        <x:f>$D$25*12*'Inputs'!H124*(1-'Inputs'!H129)</x:f>
        <x:v>0</x:v>
      </x:c>
      <x:c r="I72" s="3"/>
      <x:c r="J72" s="3"/>
      <x:c r="K72" s="3"/>
      <x:c r="L72" s="3"/>
    </x:row>
    <x:row r="73" ht="34" customHeight="1">
      <x:c r="A73" s="2"/>
      <x:c r="B73" s="2"/>
      <x:c r="C73" s="32" t="str">
        <x:v>Customer-borne local GPU / Map employee / year</x:v>
      </x:c>
      <x:c r="D73" s="53" t="n">
        <x:f>D64*12*'Inputs'!D124*(1-'Inputs'!D129)</x:f>
        <x:v>0</x:v>
      </x:c>
      <x:c r="E73" s="53" t="n">
        <x:f>E64*12*'Inputs'!E124*(1-'Inputs'!E129)</x:f>
        <x:v>0</x:v>
      </x:c>
      <x:c r="F73" s="53" t="n">
        <x:f>F64*12*'Inputs'!F124*(1-'Inputs'!F129)</x:f>
        <x:v>0</x:v>
      </x:c>
      <x:c r="G73" s="53" t="n">
        <x:f>G64*12*'Inputs'!G124*(1-'Inputs'!G129)</x:f>
        <x:v>0</x:v>
      </x:c>
      <x:c r="H73" s="53" t="n">
        <x:f>H64*12*'Inputs'!H124*(1-'Inputs'!H129)</x:f>
        <x:v>0</x:v>
      </x:c>
      <x:c r="I73" s="3"/>
      <x:c r="J73" s="3"/>
      <x:c r="K73" s="3"/>
      <x:c r="L73" s="3"/>
    </x:row>
    <x:row r="74" ht="34" customHeight="1">
      <x:c r="A74" s="2"/>
      <x:c r="B74" s="2"/>
      <x:c r="C74" s="32"/>
      <x:c r="D74" s="43"/>
      <x:c r="E74" s="43"/>
      <x:c r="F74" s="43"/>
      <x:c r="G74" s="43"/>
      <x:c r="H74" s="43"/>
      <x:c r="I74" s="3"/>
      <x:c r="J74" s="3"/>
      <x:c r="K74" s="3"/>
      <x:c r="L74" s="3"/>
    </x:row>
    <x:row r="75" ht="34" customHeight="1">
      <x:c r="A75" s="2"/>
      <x:c r="B75" s="2"/>
      <x:c r="C75" s="32" t="str">
        <x:v>Shared training compute, EUR</x:v>
      </x:c>
      <x:c r="D75" s="53" t="n">
        <x:f>'Inputs'!D131*$D$18*(1+$D$20)*'Inputs'!D181</x:f>
        <x:v>9703.98</x:v>
      </x:c>
      <x:c r="E75" s="53" t="n">
        <x:f>'Inputs'!E131*$D$18*(1+$D$20)*'Inputs'!E181</x:f>
        <x:v>97039.8</x:v>
      </x:c>
      <x:c r="F75" s="53" t="n">
        <x:f>'Inputs'!F131*$D$18*(1+$D$20)*'Inputs'!F181</x:f>
        <x:v>291119.4</x:v>
      </x:c>
      <x:c r="G75" s="53" t="n">
        <x:f>'Inputs'!G131*$D$18*(1+$D$20)*'Inputs'!G181</x:f>
        <x:v>727798.5</x:v>
      </x:c>
      <x:c r="H75" s="53" t="n">
        <x:f>'Inputs'!H131*$D$18*(1+$D$20)*'Inputs'!H181</x:f>
        <x:v>1455597</x:v>
      </x:c>
      <x:c r="I75" s="3"/>
      <x:c r="J75" s="3"/>
      <x:c r="K75" s="3"/>
      <x:c r="L75" s="3"/>
    </x:row>
    <x:row r="76" ht="34" customHeight="1">
      <x:c r="A76" s="2"/>
      <x:c r="B76" s="2"/>
      <x:c r="C76" s="32" t="str">
        <x:v>Purchased data and evaluation, EUR</x:v>
      </x:c>
      <x:c r="D76" s="53" t="n">
        <x:f>'Inputs'!D133</x:f>
        <x:v>50000</x:v>
      </x:c>
      <x:c r="E76" s="53" t="n">
        <x:f>'Inputs'!E133</x:f>
        <x:v>150000</x:v>
      </x:c>
      <x:c r="F76" s="53" t="n">
        <x:f>'Inputs'!F133</x:f>
        <x:v>400000</x:v>
      </x:c>
      <x:c r="G76" s="53" t="n">
        <x:f>'Inputs'!G133</x:f>
        <x:v>900000</x:v>
      </x:c>
      <x:c r="H76" s="53" t="n">
        <x:f>'Inputs'!H133</x:f>
        <x:v>1800000</x:v>
      </x:c>
      <x:c r="I76" s="3"/>
      <x:c r="J76" s="3"/>
      <x:c r="K76" s="3"/>
      <x:c r="L76" s="3"/>
    </x:row>
    <x:row r="77" ht="34" customHeight="1">
      <x:c r="A77" s="2"/>
      <x:c r="B77" s="2"/>
      <x:c r="C77" s="60" t="str">
        <x:v>Combined shared AI development, EUR</x:v>
      </x:c>
      <x:c r="D77" s="45" t="n">
        <x:f>D75+D76</x:f>
        <x:v>59703.979999999996</x:v>
      </x:c>
      <x:c r="E77" s="45" t="n">
        <x:f>E75+E76</x:f>
        <x:v>247039.8</x:v>
      </x:c>
      <x:c r="F77" s="45" t="n">
        <x:f>F75+F76</x:f>
        <x:v>691119.4</x:v>
      </x:c>
      <x:c r="G77" s="45" t="n">
        <x:f>G75+G76</x:f>
        <x:v>1627798.5</x:v>
      </x:c>
      <x:c r="H77" s="45" t="n">
        <x:f>H75+H76</x:f>
        <x:v>3255597</x:v>
      </x:c>
      <x:c r="I77" s="3"/>
      <x:c r="J77" s="3"/>
      <x:c r="K77" s="3"/>
      <x:c r="L77" s="3"/>
    </x:row>
    <x:row r="78" ht="34" customHeight="1">
      <x:c r="A78" s="2"/>
      <x:c r="B78" s="2"/>
      <x:c r="C78" s="32"/>
      <x:c r="D78" s="43"/>
      <x:c r="E78" s="43"/>
      <x:c r="F78" s="43"/>
      <x:c r="G78" s="43"/>
      <x:c r="H78" s="43"/>
      <x:c r="I78" s="3"/>
      <x:c r="J78" s="3"/>
      <x:c r="K78" s="3"/>
      <x:c r="L78" s="3"/>
    </x:row>
    <x:row r="79" ht="34" customHeight="1">
      <x:c r="A79" s="2"/>
      <x:c r="B79" s="2"/>
      <x:c r="C79" s="60" t="str">
        <x:v>First-year Map technical cost, DKK / employee</x:v>
      </x:c>
      <x:c r="D79" s="54" t="n">
        <x:f>(D60+D68+D71/'Pricing'!D34)*'Inputs'!D179</x:f>
        <x:v>265.863651083663</x:v>
      </x:c>
      <x:c r="E79" s="54" t="n">
        <x:f>(E60+E68+E71/'Pricing'!E34)*'Inputs'!E179</x:f>
        <x:v>229.45562451631608</x:v>
      </x:c>
      <x:c r="F79" s="54" t="n">
        <x:f>(F60+F68+F71/'Pricing'!F34)*'Inputs'!F179</x:f>
        <x:v>193.48027892640104</x:v>
      </x:c>
      <x:c r="G79" s="54" t="n">
        <x:f>(G60+G68+G71/'Pricing'!G34)*'Inputs'!G179</x:f>
        <x:v>179.06869983699488</x:v>
      </x:c>
      <x:c r="H79" s="54" t="n">
        <x:f>(H60+H68+H71/'Pricing'!H34)*'Inputs'!H179</x:f>
        <x:v>165.45806078102694</x:v>
      </x:c>
      <x:c r="I79" s="3"/>
      <x:c r="J79" s="3"/>
      <x:c r="K79" s="3"/>
      <x:c r="L79" s="3"/>
    </x:row>
    <x:row r="80" ht="34" customHeight="1">
      <x:c r="A80" s="2"/>
      <x:c r="B80" s="2"/>
      <x:c r="C80" s="60" t="str">
        <x:v>Recurring Map + tenant allocation, DKK / employee</x:v>
      </x:c>
      <x:c r="D80" s="54" t="n">
        <x:f>(D68+D71/'Pricing'!D34)*'Inputs'!D179</x:f>
        <x:v>128.851726747467</x:v>
      </x:c>
      <x:c r="E80" s="54" t="n">
        <x:f>(E68+E71/'Pricing'!E34)*'Inputs'!E179</x:f>
        <x:v>93.5844758383761</x:v>
      </x:c>
      <x:c r="F80" s="54" t="n">
        <x:f>(F68+F71/'Pricing'!F34)*'Inputs'!F179</x:f>
        <x:v>70.02594798830103</x:v>
      </x:c>
      <x:c r="G80" s="54" t="n">
        <x:f>(G68+G71/'Pricing'!G34)*'Inputs'!G179</x:f>
        <x:v>67.36517165876687</x:v>
      </x:c>
      <x:c r="H80" s="54" t="n">
        <x:f>(H68+H71/'Pricing'!H34)*'Inputs'!H179</x:f>
        <x:v>59.7900846436573</x:v>
      </x:c>
      <x:c r="I80" s="3"/>
      <x:c r="J80" s="3"/>
      <x:c r="K80" s="3"/>
      <x:c r="L80" s="3"/>
    </x:row>
    <x:row r="81" ht="34" customHeight="1">
      <x:c r="A81" s="2"/>
      <x:c r="B81" s="2"/>
      <x:c r="C81" s="60" t="str">
        <x:v>Recurring Connected + tenant allocation, DKK / employee</x:v>
      </x:c>
      <x:c r="D81" s="54" t="n">
        <x:f>(D70+D71/'Pricing'!D34)*'Inputs'!D179</x:f>
        <x:v>152.909267848203</x:v>
      </x:c>
      <x:c r="E81" s="54" t="n">
        <x:f>(E70+E71/'Pricing'!E34)*'Inputs'!E179</x:f>
        <x:v>117.6420169391121</x:v>
      </x:c>
      <x:c r="F81" s="54" t="n">
        <x:f>(F70+F71/'Pricing'!F34)*'Inputs'!F179</x:f>
        <x:v>92.2574765899047</x:v>
      </x:c>
      <x:c r="G81" s="54" t="n">
        <x:f>(G70+G71/'Pricing'!G34)*'Inputs'!G179</x:f>
        <x:v>86.85768151167201</x:v>
      </x:c>
      <x:c r="H81" s="54" t="n">
        <x:f>(H70+H71/'Pricing'!H34)*'Inputs'!H179</x:f>
        <x:v>77.4565819974301</x:v>
      </x:c>
      <x:c r="I81" s="3"/>
      <x:c r="J81" s="3"/>
      <x:c r="K81" s="3"/>
      <x:c r="L81" s="3"/>
    </x:row>
    <x:row r="82" ht="34" customHeight="1">
      <x:c r="A82" s="2"/>
      <x:c r="B82" s="2"/>
      <x:c r="C82" s="32"/>
      <x:c r="D82" s="43"/>
      <x:c r="E82" s="43"/>
      <x:c r="F82" s="43"/>
      <x:c r="G82" s="43"/>
      <x:c r="H82" s="43"/>
      <x:c r="I82" s="3"/>
      <x:c r="J82" s="3"/>
      <x:c r="K82" s="3"/>
      <x:c r="L82" s="3"/>
    </x:row>
    <x:row r="83" ht="34" customHeight="1">
      <x:c r="A83" s="2"/>
      <x:c r="B83" s="2"/>
      <x:c r="C83" s="32" t="str">
        <x:v>Dedicated H100 running all year, EUR</x:v>
      </x:c>
      <x:c r="D83" s="53" t="n">
        <x:f>$D$18*8760*(1+$D$20)*'Inputs'!D181</x:f>
        <x:v>42503.432400000005</x:v>
      </x:c>
      <x:c r="E83" s="53" t="n">
        <x:f>$D$18*8760*(1+$D$20)*'Inputs'!E181</x:f>
        <x:v>42503.432400000005</x:v>
      </x:c>
      <x:c r="F83" s="53" t="n">
        <x:f>$D$18*8760*(1+$D$20)*'Inputs'!F181</x:f>
        <x:v>42503.432400000005</x:v>
      </x:c>
      <x:c r="G83" s="53" t="n">
        <x:f>$D$18*8760*(1+$D$20)*'Inputs'!G181</x:f>
        <x:v>42503.432400000005</x:v>
      </x:c>
      <x:c r="H83" s="53" t="n">
        <x:f>$D$18*8760*(1+$D$20)*'Inputs'!H181</x:f>
        <x:v>42503.432400000005</x:v>
      </x:c>
      <x:c r="I83" s="3"/>
      <x:c r="J83" s="3"/>
      <x:c r="K83" s="3"/>
      <x:c r="L83" s="3"/>
    </x:row>
    <x:row r="84" ht="34" customHeight="1">
      <x:c r="A84" s="2"/>
      <x:c r="B84" s="2"/>
      <x:c r="C84" s="32" t="str">
        <x:v>Dedicated H100 annual DKK / 100 staff</x:v>
      </x:c>
      <x:c r="D84" s="53" t="n">
        <x:f>D83*'Inputs'!D179/100</x:f>
        <x:v>3170.91757008312</x:v>
      </x:c>
      <x:c r="E84" s="53" t="n">
        <x:f>E83*'Inputs'!E179/100</x:f>
        <x:v>3170.91757008312</x:v>
      </x:c>
      <x:c r="F84" s="53" t="n">
        <x:f>F83*'Inputs'!F179/100</x:f>
        <x:v>3170.91757008312</x:v>
      </x:c>
      <x:c r="G84" s="53" t="n">
        <x:f>G83*'Inputs'!G179/100</x:f>
        <x:v>3170.91757008312</x:v>
      </x:c>
      <x:c r="H84" s="53" t="n">
        <x:f>H83*'Inputs'!H179/100</x:f>
        <x:v>3170.91757008312</x:v>
      </x:c>
      <x:c r="I84" s="3"/>
      <x:c r="J84" s="3"/>
      <x:c r="K84" s="3"/>
      <x:c r="L84" s="3"/>
    </x:row>
    <x:row r="85" ht="25" customHeight="1">
      <x:c r="A85" s="2"/>
      <x:c r="B85" s="2"/>
      <x:c r="C85" s="32"/>
      <x:c r="D85" s="3"/>
      <x:c r="E85" s="3"/>
      <x:c r="F85" s="3"/>
      <x:c r="G85" s="3"/>
      <x:c r="H85" s="3"/>
      <x:c r="I85" s="3"/>
      <x:c r="J85" s="3"/>
      <x:c r="K85" s="3"/>
      <x:c r="L85" s="3"/>
    </x:row>
    <x:row r="86" ht="25" customHeight="1">
      <x:c r="A86" s="2"/>
      <x:c r="B86" s="2"/>
      <x:c r="C86" s="32"/>
      <x:c r="D86" s="3"/>
      <x:c r="E86" s="3"/>
      <x:c r="F86" s="3"/>
      <x:c r="G86" s="3"/>
      <x:c r="H86" s="3"/>
      <x:c r="I86" s="3"/>
      <x:c r="J86" s="3"/>
      <x:c r="K86" s="3"/>
      <x:c r="L86" s="3"/>
    </x:row>
    <x:row r="87" ht="42" customHeight="1">
      <x:c r="A87" s="2"/>
      <x:c r="B87" s="2"/>
      <x:c r="C87" s="36" t="str">
        <x:v>Mapping is customer inference, extraction, review and optional adapter tuning. Shared model R&amp;D is a separate company expense. No foundation-model pretraining is included.</x:v>
      </x:c>
      <x:c r="D87" s="18"/>
      <x:c r="E87" s="18"/>
      <x:c r="F87" s="18"/>
      <x:c r="G87" s="18"/>
      <x:c r="H87" s="18"/>
      <x:c r="I87" s="18"/>
      <x:c r="J87" s="18"/>
      <x:c r="K87" s="18"/>
      <x:c r="L87" s="18"/>
    </x:row>
    <x:row r="88" ht="25" customHeight="1">
      <x:c r="A88" s="2"/>
      <x:c r="B88" s="2"/>
      <x:c r="C88" s="32"/>
      <x:c r="D88" s="3"/>
      <x:c r="E88" s="3"/>
      <x:c r="F88" s="3"/>
      <x:c r="G88" s="3"/>
      <x:c r="H88" s="3"/>
      <x:c r="I88" s="3"/>
      <x:c r="J88" s="3"/>
      <x:c r="K88" s="3"/>
      <x:c r="L88" s="3"/>
    </x:row>
    <x:row r="89" ht="42" customHeight="1">
      <x:c r="A89" s="2"/>
      <x:c r="B89" s="2"/>
      <x:c r="C89" s="36" t="str">
        <x:v>Local models require permitted weights, measured throughput and operational support. Raw employee evidence is not assumed to flow into pooled training. Only purpose-authorised, reviewed material can be used.</x:v>
      </x:c>
      <x:c r="D89" s="18"/>
      <x:c r="E89" s="18"/>
      <x:c r="F89" s="18"/>
      <x:c r="G89" s="18"/>
      <x:c r="H89" s="18"/>
      <x:c r="I89" s="18"/>
      <x:c r="J89" s="18"/>
      <x:c r="K89" s="18"/>
      <x:c r="L89" s="18"/>
    </x:row>
    <x:row r="90" ht="25" customHeight="1">
      <x:c r="A90" s="2"/>
      <x:c r="B90" s="2"/>
      <x:c r="C90" s="32"/>
      <x:c r="D90" s="3"/>
      <x:c r="E90" s="3"/>
      <x:c r="F90" s="3"/>
      <x:c r="G90" s="3"/>
      <x:c r="H90" s="3"/>
      <x:c r="I90" s="3"/>
      <x:c r="J90" s="3"/>
      <x:c r="K90" s="3"/>
      <x:c r="L90" s="3"/>
    </x:row>
    <x:row r="91" ht="42" customHeight="1">
      <x:c r="A91" s="2"/>
      <x:c r="B91" s="2"/>
      <x:c r="C91" s="36" t="str">
        <x:v>No dedicated always-on GPU is assumed for every customer. The local GPU budget allocates metered use and idle overhead across a pool. Dedicated deployments need a separate quote.</x:v>
      </x:c>
      <x:c r="D91" s="18"/>
      <x:c r="E91" s="18"/>
      <x:c r="F91" s="18"/>
      <x:c r="G91" s="18"/>
      <x:c r="H91" s="18"/>
      <x:c r="I91" s="18"/>
      <x:c r="J91" s="18"/>
      <x:c r="K91" s="18"/>
      <x:c r="L91" s="18"/>
    </x:row>
    <x:row r="92" ht="25" customHeight="1">
      <x:c r="A92" s="2"/>
      <x:c r="B92" s="2"/>
      <x:c r="C92" s="32"/>
      <x:c r="D92" s="3"/>
      <x:c r="E92" s="3"/>
      <x:c r="F92" s="3"/>
      <x:c r="G92" s="3"/>
      <x:c r="H92" s="3"/>
      <x:c r="I92" s="3"/>
      <x:c r="J92" s="3"/>
      <x:c r="K92" s="3"/>
      <x:c r="L92" s="3"/>
    </x:row>
    <x:row r="93" ht="42" customHeight="1">
      <x:c r="A93" s="2"/>
      <x:c r="B93" s="2"/>
      <x:c r="C93" s="36" t="str">
        <x:v>First-year technical cost includes the initial mapping, twelve months of Map activity and allocated tenant infrastructure. It excludes delivery labour, central platform cost and shared model R&amp;D.</x:v>
      </x:c>
      <x:c r="D93" s="18"/>
      <x:c r="E93" s="18"/>
      <x:c r="F93" s="18"/>
      <x:c r="G93" s="18"/>
      <x:c r="H93" s="18"/>
      <x:c r="I93" s="18"/>
      <x:c r="J93" s="18"/>
      <x:c r="K93" s="18"/>
      <x:c r="L93" s="18"/>
    </x:row>
    <x:row r="94" ht="25" customHeight="1">
      <x:c r="A94" s="2"/>
      <x:c r="B94" s="2"/>
      <x:c r="C94" s="32"/>
      <x:c r="D94" s="3"/>
      <x:c r="E94" s="3"/>
      <x:c r="F94" s="3"/>
      <x:c r="G94" s="3"/>
      <x:c r="H94" s="3"/>
      <x:c r="I94" s="3"/>
      <x:c r="J94" s="3"/>
      <x:c r="K94" s="3"/>
      <x:c r="L94" s="3"/>
    </x:row>
    <x:row r="95" ht="25" customHeight="1">
      <x:c r="A95" s="2"/>
      <x:c r="B95" s="2"/>
      <x:c r="C95" s="32"/>
      <x:c r="D95" s="3"/>
      <x:c r="E95" s="3"/>
      <x:c r="F95" s="3"/>
      <x:c r="G95" s="3"/>
      <x:c r="H95" s="3"/>
      <x:c r="I95" s="3"/>
      <x:c r="J95" s="3"/>
      <x:c r="K95" s="3"/>
      <x:c r="L95" s="3"/>
    </x:row>
    <x:row r="96" ht="25" customHeight="1">
      <x:c r="A96" s="2"/>
      <x:c r="B96" s="2"/>
      <x:c r="C96" s="32"/>
      <x:c r="D96" s="3"/>
      <x:c r="E96" s="3"/>
      <x:c r="F96" s="3"/>
      <x:c r="G96" s="3"/>
      <x:c r="H96" s="3"/>
      <x:c r="I96" s="3"/>
      <x:c r="J96" s="3"/>
      <x:c r="K96" s="3"/>
      <x:c r="L96" s="3"/>
    </x:row>
    <x:row r="97" ht="25" customHeight="1">
      <x:c r="A97" s="2"/>
      <x:c r="B97" s="2"/>
      <x:c r="C97" s="32"/>
      <x:c r="D97" s="3"/>
      <x:c r="E97" s="3"/>
      <x:c r="F97" s="3"/>
      <x:c r="G97" s="3"/>
      <x:c r="H97" s="3"/>
      <x:c r="I97" s="3"/>
      <x:c r="J97" s="3"/>
      <x:c r="K97" s="3"/>
      <x:c r="L97" s="3"/>
    </x:row>
    <x:row r="98" ht="25" customHeight="1">
      <x:c r="A98" s="2"/>
      <x:c r="B98" s="2"/>
      <x:c r="C98" s="32"/>
      <x:c r="D98" s="3"/>
      <x:c r="E98" s="3"/>
      <x:c r="F98" s="3"/>
      <x:c r="G98" s="3"/>
      <x:c r="H98" s="3"/>
      <x:c r="I98" s="3"/>
      <x:c r="J98" s="3"/>
      <x:c r="K98" s="3"/>
      <x:c r="L98" s="3"/>
    </x:row>
    <x:row r="99" ht="25" customHeight="1">
      <x:c r="A99" s="2"/>
      <x:c r="B99" s="2"/>
      <x:c r="C99" s="32"/>
      <x:c r="D99" s="3"/>
      <x:c r="E99" s="3"/>
      <x:c r="F99" s="3"/>
      <x:c r="G99" s="3"/>
      <x:c r="H99" s="3"/>
      <x:c r="I99" s="3"/>
      <x:c r="J99" s="3"/>
      <x:c r="K99" s="3"/>
      <x:c r="L99" s="3"/>
    </x:row>
    <x:row r="100" ht="25" customHeight="1">
      <x:c r="A100" s="2"/>
      <x:c r="B100" s="2"/>
      <x:c r="C100" s="32"/>
      <x:c r="D100" s="3"/>
      <x:c r="E100" s="3"/>
      <x:c r="F100" s="3"/>
      <x:c r="G100" s="3"/>
      <x:c r="H100" s="3"/>
      <x:c r="I100" s="3"/>
      <x:c r="J100" s="3"/>
      <x:c r="K100" s="3"/>
      <x:c r="L100" s="3"/>
    </x:row>
    <x:row r="101" ht="25" customHeight="1">
      <x:c r="A101" s="2"/>
      <x:c r="B101" s="2"/>
      <x:c r="C101" s="32"/>
      <x:c r="D101" s="3"/>
      <x:c r="E101" s="3"/>
      <x:c r="F101" s="3"/>
      <x:c r="G101" s="3"/>
      <x:c r="H101" s="3"/>
      <x:c r="I101" s="3"/>
      <x:c r="J101" s="3"/>
      <x:c r="K101" s="3"/>
      <x:c r="L101" s="3"/>
    </x:row>
    <x:row r="102" ht="25" customHeight="1">
      <x:c r="A102" s="2"/>
      <x:c r="B102" s="2"/>
      <x:c r="C102" s="32"/>
      <x:c r="D102" s="3"/>
      <x:c r="E102" s="3"/>
      <x:c r="F102" s="3"/>
      <x:c r="G102" s="3"/>
      <x:c r="H102" s="3"/>
      <x:c r="I102" s="3"/>
      <x:c r="J102" s="3"/>
      <x:c r="K102" s="3"/>
      <x:c r="L102" s="3"/>
    </x:row>
    <x:row r="103" ht="25" customHeight="1">
      <x:c r="A103" s="2"/>
      <x:c r="B103" s="2"/>
      <x:c r="C103" s="32"/>
      <x:c r="D103" s="3"/>
      <x:c r="E103" s="3"/>
      <x:c r="F103" s="3"/>
      <x:c r="G103" s="3"/>
      <x:c r="H103" s="3"/>
      <x:c r="I103" s="3"/>
      <x:c r="J103" s="3"/>
      <x:c r="K103" s="3"/>
      <x:c r="L103" s="3"/>
    </x:row>
    <x:row r="104" ht="25" customHeight="1">
      <x:c r="A104" s="2"/>
      <x:c r="B104" s="2"/>
      <x:c r="C104" s="32"/>
      <x:c r="D104" s="3"/>
      <x:c r="E104" s="3"/>
      <x:c r="F104" s="3"/>
      <x:c r="G104" s="3"/>
      <x:c r="H104" s="3"/>
      <x:c r="I104" s="3"/>
      <x:c r="J104" s="3"/>
      <x:c r="K104" s="3"/>
      <x:c r="L104" s="3"/>
    </x:row>
    <x:row r="105" ht="25" customHeight="1">
      <x:c r="A105" s="2"/>
      <x:c r="B105" s="2"/>
      <x:c r="C105" s="32"/>
      <x:c r="D105" s="3"/>
      <x:c r="E105" s="3"/>
      <x:c r="F105" s="3"/>
      <x:c r="G105" s="3"/>
      <x:c r="H105" s="3"/>
      <x:c r="I105" s="3"/>
      <x:c r="J105" s="3"/>
      <x:c r="K105" s="3"/>
      <x:c r="L105" s="3"/>
    </x:row>
    <x:row r="106" ht="25" customHeight="1">
      <x:c r="A106" s="2"/>
      <x:c r="B106" s="2"/>
      <x:c r="C106" s="32"/>
      <x:c r="D106" s="3"/>
      <x:c r="E106" s="3"/>
      <x:c r="F106" s="3"/>
      <x:c r="G106" s="3"/>
      <x:c r="H106" s="3"/>
      <x:c r="I106" s="3"/>
      <x:c r="J106" s="3"/>
      <x:c r="K106" s="3"/>
      <x:c r="L106" s="3"/>
    </x:row>
    <x:row r="107" ht="25" customHeight="1">
      <x:c r="A107" s="2"/>
      <x:c r="B107" s="2"/>
      <x:c r="C107" s="32"/>
      <x:c r="D107" s="3"/>
      <x:c r="E107" s="3"/>
      <x:c r="F107" s="3"/>
      <x:c r="G107" s="3"/>
      <x:c r="H107" s="3"/>
      <x:c r="I107" s="3"/>
      <x:c r="J107" s="3"/>
      <x:c r="K107" s="3"/>
      <x:c r="L107" s="3"/>
    </x:row>
    <x:row r="108" ht="25" customHeight="1">
      <x:c r="A108" s="2"/>
      <x:c r="B108" s="2"/>
      <x:c r="C108" s="32"/>
      <x:c r="D108" s="3"/>
      <x:c r="E108" s="3"/>
      <x:c r="F108" s="3"/>
      <x:c r="G108" s="3"/>
      <x:c r="H108" s="3"/>
      <x:c r="I108" s="3"/>
      <x:c r="J108" s="3"/>
      <x:c r="K108" s="3"/>
      <x:c r="L108" s="3"/>
    </x:row>
    <x:row r="109" ht="25" customHeight="1">
      <x:c r="A109" s="2"/>
      <x:c r="B109" s="2"/>
      <x:c r="C109" s="32"/>
      <x:c r="D109" s="3"/>
      <x:c r="E109" s="3"/>
      <x:c r="F109" s="3"/>
      <x:c r="G109" s="3"/>
      <x:c r="H109" s="3"/>
      <x:c r="I109" s="3"/>
      <x:c r="J109" s="3"/>
      <x:c r="K109" s="3"/>
      <x:c r="L109" s="3"/>
    </x:row>
    <x:row r="110" ht="25" customHeight="1">
      <x:c r="A110" s="2"/>
      <x:c r="B110" s="2"/>
      <x:c r="C110" s="32"/>
      <x:c r="D110" s="3"/>
      <x:c r="E110" s="3"/>
      <x:c r="F110" s="3"/>
      <x:c r="G110" s="3"/>
      <x:c r="H110" s="3"/>
      <x:c r="I110" s="3"/>
      <x:c r="J110" s="3"/>
      <x:c r="K110" s="3"/>
      <x:c r="L110" s="3"/>
    </x:row>
    <x:row r="111" ht="25" customHeight="1">
      <x:c r="A111" s="2"/>
      <x:c r="B111" s="2"/>
      <x:c r="C111" s="32"/>
      <x:c r="D111" s="3"/>
      <x:c r="E111" s="3"/>
      <x:c r="F111" s="3"/>
      <x:c r="G111" s="3"/>
      <x:c r="H111" s="3"/>
      <x:c r="I111" s="3"/>
      <x:c r="J111" s="3"/>
      <x:c r="K111" s="3"/>
      <x:c r="L111" s="3"/>
    </x:row>
    <x:row r="112" ht="25" customHeight="1">
      <x:c r="A112" s="2"/>
      <x:c r="B112" s="2"/>
      <x:c r="C112" s="32"/>
      <x:c r="D112" s="3"/>
      <x:c r="E112" s="3"/>
      <x:c r="F112" s="3"/>
      <x:c r="G112" s="3"/>
      <x:c r="H112" s="3"/>
      <x:c r="I112" s="3"/>
      <x:c r="J112" s="3"/>
      <x:c r="K112" s="3"/>
      <x:c r="L112" s="3"/>
    </x:row>
    <x:row r="113" ht="25" customHeight="1">
      <x:c r="A113" s="2"/>
      <x:c r="B113" s="2"/>
      <x:c r="C113" s="32"/>
      <x:c r="D113" s="3"/>
      <x:c r="E113" s="3"/>
      <x:c r="F113" s="3"/>
      <x:c r="G113" s="3"/>
      <x:c r="H113" s="3"/>
      <x:c r="I113" s="3"/>
      <x:c r="J113" s="3"/>
      <x:c r="K113" s="3"/>
      <x:c r="L113" s="3"/>
    </x:row>
    <x:row r="114" ht="25" customHeight="1">
      <x:c r="A114" s="2"/>
      <x:c r="B114" s="2"/>
      <x:c r="C114" s="32"/>
      <x:c r="D114" s="3"/>
      <x:c r="E114" s="3"/>
      <x:c r="F114" s="3"/>
      <x:c r="G114" s="3"/>
      <x:c r="H114" s="3"/>
      <x:c r="I114" s="3"/>
      <x:c r="J114" s="3"/>
      <x:c r="K114" s="3"/>
      <x:c r="L114" s="3"/>
    </x:row>
    <x:row r="115" ht="25" customHeight="1">
      <x:c r="A115" s="2"/>
      <x:c r="B115" s="2"/>
      <x:c r="C115" s="32"/>
      <x:c r="D115" s="3"/>
      <x:c r="E115" s="3"/>
      <x:c r="F115" s="3"/>
      <x:c r="G115" s="3"/>
      <x:c r="H115" s="3"/>
      <x:c r="I115" s="3"/>
      <x:c r="J115" s="3"/>
      <x:c r="K115" s="3"/>
      <x:c r="L115" s="3"/>
    </x:row>
    <x:row r="116" ht="25" customHeight="1">
      <x:c r="A116" s="2"/>
      <x:c r="B116" s="2"/>
      <x:c r="C116" s="32"/>
      <x:c r="D116" s="3"/>
      <x:c r="E116" s="3"/>
      <x:c r="F116" s="3"/>
      <x:c r="G116" s="3"/>
      <x:c r="H116" s="3"/>
      <x:c r="I116" s="3"/>
      <x:c r="J116" s="3"/>
      <x:c r="K116" s="3"/>
      <x:c r="L116" s="3"/>
    </x:row>
    <x:row r="117" ht="25" customHeight="1">
      <x:c r="A117" s="2"/>
      <x:c r="B117" s="2"/>
      <x:c r="C117" s="32"/>
      <x:c r="D117" s="3"/>
      <x:c r="E117" s="3"/>
      <x:c r="F117" s="3"/>
      <x:c r="G117" s="3"/>
      <x:c r="H117" s="3"/>
      <x:c r="I117" s="3"/>
      <x:c r="J117" s="3"/>
      <x:c r="K117" s="3"/>
      <x:c r="L117" s="3"/>
    </x:row>
    <x:row r="118" ht="25" customHeight="1">
      <x:c r="A118" s="2"/>
      <x:c r="B118" s="2"/>
      <x:c r="C118" s="32"/>
      <x:c r="D118" s="3"/>
      <x:c r="E118" s="3"/>
      <x:c r="F118" s="3"/>
      <x:c r="G118" s="3"/>
      <x:c r="H118" s="3"/>
      <x:c r="I118" s="3"/>
      <x:c r="J118" s="3"/>
      <x:c r="K118" s="3"/>
      <x:c r="L118" s="3"/>
    </x:row>
    <x:row r="119" ht="25" customHeight="1">
      <x:c r="A119" s="2"/>
      <x:c r="B119" s="2"/>
      <x:c r="C119" s="32"/>
      <x:c r="D119" s="3"/>
      <x:c r="E119" s="3"/>
      <x:c r="F119" s="3"/>
      <x:c r="G119" s="3"/>
      <x:c r="H119" s="3"/>
      <x:c r="I119" s="3"/>
      <x:c r="J119" s="3"/>
      <x:c r="K119" s="3"/>
      <x:c r="L119" s="3"/>
    </x:row>
    <x:row r="120" ht="25" customHeight="1">
      <x:c r="A120" s="2"/>
      <x:c r="B120" s="2"/>
      <x:c r="C120" s="32"/>
      <x:c r="D120" s="3"/>
      <x:c r="E120" s="3"/>
      <x:c r="F120" s="3"/>
      <x:c r="G120" s="3"/>
      <x:c r="H120" s="3"/>
      <x:c r="I120" s="3"/>
      <x:c r="J120" s="3"/>
      <x:c r="K120" s="3"/>
      <x:c r="L120" s="3"/>
    </x:row>
  </x:sheetData>
  <x:mergeCells>
    <x:mergeCell ref="C2:L2"/>
    <x:mergeCell ref="F8:L8"/>
    <x:mergeCell ref="F9:L9"/>
    <x:mergeCell ref="F10:L10"/>
    <x:mergeCell ref="F11:L11"/>
    <x:mergeCell ref="F12:L12"/>
    <x:mergeCell ref="F13:L13"/>
    <x:mergeCell ref="F14:L14"/>
    <x:mergeCell ref="F15:L15"/>
    <x:mergeCell ref="F16:L16"/>
    <x:mergeCell ref="F17:L17"/>
    <x:mergeCell ref="F18:L18"/>
    <x:mergeCell ref="F19:L19"/>
    <x:mergeCell ref="F20:L20"/>
    <x:mergeCell ref="F21:L21"/>
    <x:mergeCell ref="F22:L22"/>
    <x:mergeCell ref="F23:L23"/>
    <x:mergeCell ref="F24:L24"/>
    <x:mergeCell ref="F25:L25"/>
    <x:mergeCell ref="F26:L26"/>
    <x:mergeCell ref="F27:L27"/>
    <x:mergeCell ref="F28:L28"/>
    <x:mergeCell ref="F29:L29"/>
    <x:mergeCell ref="C87:L87"/>
    <x:mergeCell ref="C89:L89"/>
    <x:mergeCell ref="C93:L93"/>
    <x:mergeCell ref="C91:L91"/>
  </x:mergeCells>
  <x:pageMargins left="0.7" right="0.7" top="0.75" bottom="0.75" header="0.3" footer="0.3"/>
</x:worksheet>
</file>

<file path=xl/worksheets/sheet6.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2" hidden="0" customWidth="1"/>
    <x:col min="2" max="2" width="2" hidden="0" customWidth="1"/>
    <x:col min="3" max="3" width="48"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 min="17" max="17" width="16" hidden="0" customWidth="1"/>
    <x:col min="18" max="18" width="16" hidden="0" customWidth="1"/>
    <x:col min="19" max="19" width="16" hidden="0" customWidth="1"/>
    <x:col min="20" max="20" width="16" hidden="0" customWidth="1"/>
  </x:cols>
  <x:sheetData>
    <x:row r="1" ht="25" customHeight="1">
      <x:c r="A1" s="2"/>
      <x:c r="B1" s="2"/>
      <x:c r="C1" s="2"/>
      <x:c r="D1" s="3"/>
      <x:c r="E1" s="3"/>
      <x:c r="F1" s="3"/>
      <x:c r="G1" s="3"/>
      <x:c r="H1" s="3"/>
      <x:c r="I1" s="3"/>
      <x:c r="J1" s="3"/>
      <x:c r="K1" s="3"/>
      <x:c r="L1" s="3"/>
      <x:c r="M1" s="3"/>
      <x:c r="N1" s="3"/>
      <x:c r="O1" s="3"/>
      <x:c r="P1" s="3"/>
      <x:c r="Q1" s="3"/>
      <x:c r="R1" s="3"/>
      <x:c r="S1" s="3"/>
      <x:c r="T1" s="3"/>
    </x:row>
    <x:row r="2" ht="34" customHeight="1">
      <x:c r="A2" s="2"/>
      <x:c r="B2" s="2"/>
      <x:c r="C2" s="4" t="str">
        <x:v>Qualified demand, sales capacity and activation</x:v>
      </x:c>
      <x:c r="D2" s="3"/>
      <x:c r="E2" s="3"/>
      <x:c r="F2" s="3"/>
      <x:c r="G2" s="3"/>
      <x:c r="H2" s="3"/>
      <x:c r="I2" s="3"/>
      <x:c r="J2" s="3"/>
      <x:c r="K2" s="3"/>
      <x:c r="L2" s="3"/>
      <x:c r="M2" s="3"/>
      <x:c r="N2" s="3"/>
      <x:c r="O2" s="3"/>
      <x:c r="P2" s="3"/>
      <x:c r="Q2" s="3"/>
      <x:c r="R2" s="3"/>
      <x:c r="S2" s="3"/>
      <x:c r="T2" s="3"/>
    </x:row>
    <x:row r="3" ht="25" customHeight="1">
      <x:c r="A3" s="2"/>
      <x:c r="B3" s="2"/>
      <x:c r="C3" s="2" t="str">
        <x:v>Selected case</x:v>
      </x:c>
      <x:c r="D3" s="52" t="str">
        <x:f>'Inputs'!$E$3</x:f>
        <x:v>Base</x:v>
      </x:c>
      <x:c r="E3" s="3"/>
      <x:c r="F3" s="3"/>
      <x:c r="G3" s="3"/>
      <x:c r="H3" s="3"/>
      <x:c r="I3" s="3"/>
      <x:c r="J3" s="3"/>
      <x:c r="K3" s="3"/>
      <x:c r="L3" s="3"/>
      <x:c r="M3" s="3"/>
      <x:c r="N3" s="3"/>
      <x:c r="O3" s="3"/>
      <x:c r="P3" s="3"/>
      <x:c r="Q3" s="3"/>
      <x:c r="R3" s="3"/>
      <x:c r="S3" s="3"/>
      <x:c r="T3" s="3"/>
    </x:row>
    <x:row r="4" ht="25" customHeight="1">
      <x:c r="A4" s="2"/>
      <x:c r="B4" s="2"/>
      <x:c r="C4" s="2"/>
      <x:c r="D4" s="3"/>
      <x:c r="E4" s="3"/>
      <x:c r="F4" s="3"/>
      <x:c r="G4" s="3"/>
      <x:c r="H4" s="3"/>
      <x:c r="I4" s="3"/>
      <x:c r="J4" s="3"/>
      <x:c r="K4" s="3"/>
      <x:c r="L4" s="3"/>
      <x:c r="M4" s="3"/>
      <x:c r="N4" s="3"/>
      <x:c r="O4" s="3"/>
      <x:c r="P4" s="3"/>
      <x:c r="Q4" s="3"/>
      <x:c r="R4" s="3"/>
      <x:c r="S4" s="3"/>
      <x:c r="T4" s="3"/>
    </x:row>
    <x:row r="5" ht="25" customHeight="1">
      <x:c r="A5" s="2"/>
      <x:c r="B5" s="2"/>
      <x:c r="C5" s="7"/>
      <x:c r="D5" s="8" t="str">
        <x:v>Q4:26</x:v>
      </x:c>
      <x:c r="E5" s="8" t="str">
        <x:v>Q1:27</x:v>
      </x:c>
      <x:c r="F5" s="8" t="str">
        <x:v>Q2:27</x:v>
      </x:c>
      <x:c r="G5" s="8" t="str">
        <x:v>Q3:27</x:v>
      </x:c>
      <x:c r="H5" s="8" t="str">
        <x:v>Q4:27</x:v>
      </x:c>
      <x:c r="I5" s="8" t="str">
        <x:v>Q1:28</x:v>
      </x:c>
      <x:c r="J5" s="8" t="str">
        <x:v>Q2:28</x:v>
      </x:c>
      <x:c r="K5" s="8" t="str">
        <x:v>Q3:28</x:v>
      </x:c>
      <x:c r="L5" s="8" t="str">
        <x:v>Q4:28</x:v>
      </x:c>
      <x:c r="M5" s="8" t="str">
        <x:v>Q1:29</x:v>
      </x:c>
      <x:c r="N5" s="8" t="str">
        <x:v>Q2:29</x:v>
      </x:c>
      <x:c r="O5" s="8" t="str">
        <x:v>Q3:29</x:v>
      </x:c>
      <x:c r="P5" s="8" t="str">
        <x:v>Q4:29</x:v>
      </x:c>
      <x:c r="Q5" s="8" t="str">
        <x:v>Q1:30</x:v>
      </x:c>
      <x:c r="R5" s="8" t="str">
        <x:v>Q2:30</x:v>
      </x:c>
      <x:c r="S5" s="8" t="str">
        <x:v>Q3:30</x:v>
      </x:c>
      <x:c r="T5" s="8" t="str">
        <x:v>Q4:30</x:v>
      </x:c>
    </x:row>
    <x:row r="6" ht="27" customHeight="1">
      <x:c r="A6" s="2"/>
      <x:c r="B6" s="2"/>
      <x:c r="C6" s="61" t="str">
        <x:v>Demand and signature capacity</x:v>
      </x:c>
      <x:c r="D6" s="15"/>
      <x:c r="E6" s="15"/>
      <x:c r="F6" s="15"/>
      <x:c r="G6" s="15"/>
      <x:c r="H6" s="15"/>
      <x:c r="I6" s="15"/>
      <x:c r="J6" s="15"/>
      <x:c r="K6" s="15"/>
      <x:c r="L6" s="15"/>
      <x:c r="M6" s="15"/>
      <x:c r="N6" s="15"/>
      <x:c r="O6" s="15"/>
      <x:c r="P6" s="15"/>
      <x:c r="Q6" s="15"/>
      <x:c r="R6" s="15"/>
      <x:c r="S6" s="15"/>
      <x:c r="T6" s="15"/>
    </x:row>
    <x:row r="7" ht="25" customHeight="1">
      <x:c r="A7" s="2"/>
      <x:c r="B7" s="2"/>
      <x:c r="C7" s="32" t="str">
        <x:v>New qualified opportunities</x:v>
      </x:c>
      <x:c r="D7" s="55" t="n">
        <x:f>'Inputs'!D32*1</x:f>
        <x:v>10</x:v>
      </x:c>
      <x:c r="E7" s="55" t="n">
        <x:f>'Inputs'!E32*0.15</x:f>
        <x:v>36</x:v>
      </x:c>
      <x:c r="F7" s="55" t="n">
        <x:f>'Inputs'!E32*0.2</x:f>
        <x:v>48</x:v>
      </x:c>
      <x:c r="G7" s="55" t="n">
        <x:f>'Inputs'!E32*0.3</x:f>
        <x:v>72</x:v>
      </x:c>
      <x:c r="H7" s="55" t="n">
        <x:f>'Inputs'!E32*0.35</x:f>
        <x:v>84</x:v>
      </x:c>
      <x:c r="I7" s="55" t="n">
        <x:f>'Inputs'!F32*0.15</x:f>
        <x:v>150</x:v>
      </x:c>
      <x:c r="J7" s="55" t="n">
        <x:f>'Inputs'!F32*0.2</x:f>
        <x:v>200</x:v>
      </x:c>
      <x:c r="K7" s="55" t="n">
        <x:f>'Inputs'!F32*0.3</x:f>
        <x:v>300</x:v>
      </x:c>
      <x:c r="L7" s="55" t="n">
        <x:f>'Inputs'!F32*0.35</x:f>
        <x:v>350</x:v>
      </x:c>
      <x:c r="M7" s="55" t="n">
        <x:f>'Inputs'!G32*0.15</x:f>
        <x:v>480</x:v>
      </x:c>
      <x:c r="N7" s="55" t="n">
        <x:f>'Inputs'!G32*0.2</x:f>
        <x:v>640</x:v>
      </x:c>
      <x:c r="O7" s="55" t="n">
        <x:f>'Inputs'!G32*0.3</x:f>
        <x:v>960</x:v>
      </x:c>
      <x:c r="P7" s="55" t="n">
        <x:f>'Inputs'!G32*0.35</x:f>
        <x:v>1120</x:v>
      </x:c>
      <x:c r="Q7" s="55" t="n">
        <x:f>'Inputs'!H32*0.15</x:f>
        <x:v>975</x:v>
      </x:c>
      <x:c r="R7" s="55" t="n">
        <x:f>'Inputs'!H32*0.2</x:f>
        <x:v>1300</x:v>
      </x:c>
      <x:c r="S7" s="55" t="n">
        <x:f>'Inputs'!H32*0.3</x:f>
        <x:v>1950</x:v>
      </x:c>
      <x:c r="T7" s="55" t="n">
        <x:f>'Inputs'!H32*0.35</x:f>
        <x:v>2275</x:v>
      </x:c>
    </x:row>
    <x:row r="8" ht="25" customHeight="1">
      <x:c r="A8" s="2"/>
      <x:c r="B8" s="2"/>
      <x:c r="C8" s="32" t="str">
        <x:v>Mature opportunities reaching decision</x:v>
      </x:c>
      <x:c r="D8" s="55" t="n">
        <x:f>IF(0&lt;'Inputs'!D42,0,INDEX($D$7:$T$7,1,MAX(1,1-'Inputs'!D42)))</x:f>
        <x:v>0</x:v>
      </x:c>
      <x:c r="E8" s="55" t="n">
        <x:f>IF(1&lt;'Inputs'!E42,0,INDEX($D$7:$T$7,1,MAX(1,2-'Inputs'!E42)))</x:f>
        <x:v>0</x:v>
      </x:c>
      <x:c r="F8" s="55" t="n">
        <x:f>IF(2&lt;'Inputs'!E42,0,INDEX($D$7:$T$7,1,MAX(1,3-'Inputs'!E42)))</x:f>
        <x:v>10</x:v>
      </x:c>
      <x:c r="G8" s="55" t="n">
        <x:f>IF(3&lt;'Inputs'!E42,0,INDEX($D$7:$T$7,1,MAX(1,4-'Inputs'!E42)))</x:f>
        <x:v>36</x:v>
      </x:c>
      <x:c r="H8" s="55" t="n">
        <x:f>IF(4&lt;'Inputs'!E42,0,INDEX($D$7:$T$7,1,MAX(1,5-'Inputs'!E42)))</x:f>
        <x:v>48</x:v>
      </x:c>
      <x:c r="I8" s="55" t="n">
        <x:f>IF(5&lt;'Inputs'!F42,0,INDEX($D$7:$T$7,1,MAX(1,6-'Inputs'!F42)))</x:f>
        <x:v>72</x:v>
      </x:c>
      <x:c r="J8" s="55" t="n">
        <x:f>IF(6&lt;'Inputs'!F42,0,INDEX($D$7:$T$7,1,MAX(1,7-'Inputs'!F42)))</x:f>
        <x:v>84</x:v>
      </x:c>
      <x:c r="K8" s="55" t="n">
        <x:f>IF(7&lt;'Inputs'!F42,0,INDEX($D$7:$T$7,1,MAX(1,8-'Inputs'!F42)))</x:f>
        <x:v>150</x:v>
      </x:c>
      <x:c r="L8" s="55" t="n">
        <x:f>IF(8&lt;'Inputs'!F42,0,INDEX($D$7:$T$7,1,MAX(1,9-'Inputs'!F42)))</x:f>
        <x:v>200</x:v>
      </x:c>
      <x:c r="M8" s="55" t="n">
        <x:f>IF(9&lt;'Inputs'!G42,0,INDEX($D$7:$T$7,1,MAX(1,10-'Inputs'!G42)))</x:f>
        <x:v>300</x:v>
      </x:c>
      <x:c r="N8" s="55" t="n">
        <x:f>IF(10&lt;'Inputs'!G42,0,INDEX($D$7:$T$7,1,MAX(1,11-'Inputs'!G42)))</x:f>
        <x:v>350</x:v>
      </x:c>
      <x:c r="O8" s="55" t="n">
        <x:f>IF(11&lt;'Inputs'!G42,0,INDEX($D$7:$T$7,1,MAX(1,12-'Inputs'!G42)))</x:f>
        <x:v>480</x:v>
      </x:c>
      <x:c r="P8" s="55" t="n">
        <x:f>IF(12&lt;'Inputs'!G42,0,INDEX($D$7:$T$7,1,MAX(1,13-'Inputs'!G42)))</x:f>
        <x:v>640</x:v>
      </x:c>
      <x:c r="Q8" s="55" t="n">
        <x:f>IF(13&lt;'Inputs'!H42,0,INDEX($D$7:$T$7,1,MAX(1,14-'Inputs'!H42)))</x:f>
        <x:v>960</x:v>
      </x:c>
      <x:c r="R8" s="55" t="n">
        <x:f>IF(14&lt;'Inputs'!H42,0,INDEX($D$7:$T$7,1,MAX(1,15-'Inputs'!H42)))</x:f>
        <x:v>1120</x:v>
      </x:c>
      <x:c r="S8" s="55" t="n">
        <x:f>IF(15&lt;'Inputs'!H42,0,INDEX($D$7:$T$7,1,MAX(1,16-'Inputs'!H42)))</x:f>
        <x:v>975</x:v>
      </x:c>
      <x:c r="T8" s="55" t="n">
        <x:f>IF(16&lt;'Inputs'!H42,0,INDEX($D$7:$T$7,1,MAX(1,17-'Inputs'!H42)))</x:f>
        <x:v>1300</x:v>
      </x:c>
    </x:row>
    <x:row r="9" ht="25" customHeight="1">
      <x:c r="A9" s="2"/>
      <x:c r="B9" s="2"/>
      <x:c r="C9" s="32" t="str">
        <x:v>Expected direct wins from pipeline</x:v>
      </x:c>
      <x:c r="D9" s="55" t="n">
        <x:f>D8*'Inputs'!D37</x:f>
        <x:v>0</x:v>
      </x:c>
      <x:c r="E9" s="55" t="n">
        <x:f>E8*'Inputs'!E37</x:f>
        <x:v>0</x:v>
      </x:c>
      <x:c r="F9" s="55" t="n">
        <x:f>F8*'Inputs'!E37</x:f>
        <x:v>2</x:v>
      </x:c>
      <x:c r="G9" s="55" t="n">
        <x:f>G8*'Inputs'!E37</x:f>
        <x:v>7.2</x:v>
      </x:c>
      <x:c r="H9" s="55" t="n">
        <x:f>H8*'Inputs'!E37</x:f>
        <x:v>9.600000000000001</x:v>
      </x:c>
      <x:c r="I9" s="55" t="n">
        <x:f>I8*'Inputs'!F37</x:f>
        <x:v>17.28</x:v>
      </x:c>
      <x:c r="J9" s="55" t="n">
        <x:f>J8*'Inputs'!F37</x:f>
        <x:v>20.16</x:v>
      </x:c>
      <x:c r="K9" s="55" t="n">
        <x:f>K8*'Inputs'!F37</x:f>
        <x:v>36</x:v>
      </x:c>
      <x:c r="L9" s="55" t="n">
        <x:f>L8*'Inputs'!F37</x:f>
        <x:v>48</x:v>
      </x:c>
      <x:c r="M9" s="55" t="n">
        <x:f>M8*'Inputs'!G37</x:f>
        <x:v>81</x:v>
      </x:c>
      <x:c r="N9" s="55" t="n">
        <x:f>N8*'Inputs'!G37</x:f>
        <x:v>94.5</x:v>
      </x:c>
      <x:c r="O9" s="55" t="n">
        <x:f>O8*'Inputs'!G37</x:f>
        <x:v>129.60000000000002</x:v>
      </x:c>
      <x:c r="P9" s="55" t="n">
        <x:f>P8*'Inputs'!G37</x:f>
        <x:v>172.8</x:v>
      </x:c>
      <x:c r="Q9" s="55" t="n">
        <x:f>Q8*'Inputs'!H37</x:f>
        <x:v>259.20000000000005</x:v>
      </x:c>
      <x:c r="R9" s="55" t="n">
        <x:f>R8*'Inputs'!H37</x:f>
        <x:v>302.40000000000003</x:v>
      </x:c>
      <x:c r="S9" s="55" t="n">
        <x:f>S8*'Inputs'!H37</x:f>
        <x:v>263.25</x:v>
      </x:c>
      <x:c r="T9" s="55" t="n">
        <x:f>T8*'Inputs'!H37</x:f>
        <x:v>351</x:v>
      </x:c>
    </x:row>
    <x:row r="10" ht="25" customHeight="1">
      <x:c r="A10" s="2"/>
      <x:c r="B10" s="2"/>
      <x:c r="C10" s="32" t="str">
        <x:v>Direct AE closing capacity</x:v>
      </x:c>
      <x:c r="D10" s="55" t="n">
        <x:f>'People'!D15*'Inputs'!D47*'Inputs'!D52/4</x:f>
        <x:v>0</x:v>
      </x:c>
      <x:c r="E10" s="55" t="n">
        <x:f>'People'!E15*'Inputs'!E47*'Inputs'!E52/4</x:f>
        <x:v>0.3046875</x:v>
      </x:c>
      <x:c r="F10" s="55" t="n">
        <x:f>'People'!F15*'Inputs'!E47*'Inputs'!E52/4</x:f>
        <x:v>1.5234375</x:v>
      </x:c>
      <x:c r="G10" s="55" t="n">
        <x:f>'People'!G15*'Inputs'!E47*'Inputs'!E52/4</x:f>
        <x:v>3.9609375</x:v>
      </x:c>
      <x:c r="H10" s="55" t="n">
        <x:f>'People'!H15*'Inputs'!E47*'Inputs'!E52/4</x:f>
        <x:v>6.3984375</x:v>
      </x:c>
      <x:c r="I10" s="55" t="n">
        <x:f>'People'!I15*'Inputs'!F47*'Inputs'!F52/4</x:f>
        <x:v>11.58828125</x:v>
      </x:c>
      <x:c r="J10" s="55" t="n">
        <x:f>'People'!J15*'Inputs'!F47*'Inputs'!F52/4</x:f>
        <x:v>19.55078125</x:v>
      </x:c>
      <x:c r="K10" s="55" t="n">
        <x:f>'People'!K15*'Inputs'!F47*'Inputs'!F52/4</x:f>
        <x:v>32.632031250000004</x:v>
      </x:c>
      <x:c r="L10" s="55" t="n">
        <x:f>'People'!L15*'Inputs'!F47*'Inputs'!F52/4</x:f>
        <x:v>45.71328125</x:v>
      </x:c>
      <x:c r="M10" s="55" t="n">
        <x:f>'People'!M15*'Inputs'!G47*'Inputs'!G52/4</x:f>
        <x:v>74.725</x:v>
      </x:c>
      <x:c r="N10" s="55" t="n">
        <x:f>'People'!N15*'Inputs'!G47*'Inputs'!G52/4</x:f>
        <x:v>100.27499999999999</x:v>
      </x:c>
      <x:c r="O10" s="55" t="n">
        <x:f>'People'!O15*'Inputs'!G47*'Inputs'!G52/4</x:f>
        <x:v>135.27499999999998</x:v>
      </x:c>
      <x:c r="P10" s="55" t="n">
        <x:f>'People'!P15*'Inputs'!G47*'Inputs'!G52/4</x:f>
        <x:v>170.27499999999998</x:v>
      </x:c>
      <x:c r="Q10" s="55" t="n">
        <x:f>'People'!Q15*'Inputs'!H47*'Inputs'!H52/4</x:f>
        <x:v>232.6078125</x:v>
      </x:c>
      <x:c r="R10" s="55" t="n">
        <x:f>'People'!R15*'Inputs'!H47*'Inputs'!H52/4</x:f>
        <x:v>278.6765625</x:v>
      </x:c>
      <x:c r="S10" s="55" t="n">
        <x:f>'People'!S15*'Inputs'!H47*'Inputs'!H52/4</x:f>
        <x:v>331.4390625</x:v>
      </x:c>
      <x:c r="T10" s="55" t="n">
        <x:f>'People'!T15*'Inputs'!H47*'Inputs'!H52/4</x:f>
        <x:v>384.20156249999997</x:v>
      </x:c>
    </x:row>
    <x:row r="11" ht="25" customHeight="1">
      <x:c r="A11" s="2"/>
      <x:c r="B11" s="2"/>
      <x:c r="C11" s="32" t="str">
        <x:v>Founder-led signatures</x:v>
      </x:c>
      <x:c r="D11" s="55" t="n">
        <x:f>'Inputs'!D67</x:f>
        <x:v>5</x:v>
      </x:c>
      <x:c r="E11" s="55" t="n">
        <x:f>'Inputs'!E67</x:f>
        <x:v>25</x:v>
      </x:c>
      <x:c r="F11" s="26" t="n">
        <x:f>0</x:f>
        <x:v>0</x:v>
      </x:c>
      <x:c r="G11" s="26" t="n">
        <x:f>0</x:f>
        <x:v>0</x:v>
      </x:c>
      <x:c r="H11" s="26" t="n">
        <x:f>0</x:f>
        <x:v>0</x:v>
      </x:c>
      <x:c r="I11" s="55" t="n">
        <x:f>'Inputs'!F67</x:f>
        <x:v>5</x:v>
      </x:c>
      <x:c r="J11" s="26" t="n">
        <x:f>0</x:f>
        <x:v>0</x:v>
      </x:c>
      <x:c r="K11" s="26" t="n">
        <x:f>0</x:f>
        <x:v>0</x:v>
      </x:c>
      <x:c r="L11" s="26" t="n">
        <x:f>0</x:f>
        <x:v>0</x:v>
      </x:c>
      <x:c r="M11" s="55" t="n">
        <x:f>'Inputs'!G67</x:f>
        <x:v>5</x:v>
      </x:c>
      <x:c r="N11" s="26" t="n">
        <x:f>0</x:f>
        <x:v>0</x:v>
      </x:c>
      <x:c r="O11" s="26" t="n">
        <x:f>0</x:f>
        <x:v>0</x:v>
      </x:c>
      <x:c r="P11" s="26" t="n">
        <x:f>0</x:f>
        <x:v>0</x:v>
      </x:c>
      <x:c r="Q11" s="55" t="n">
        <x:f>'Inputs'!H67</x:f>
        <x:v>5</x:v>
      </x:c>
      <x:c r="R11" s="26" t="n">
        <x:f>0</x:f>
        <x:v>0</x:v>
      </x:c>
      <x:c r="S11" s="26" t="n">
        <x:f>0</x:f>
        <x:v>0</x:v>
      </x:c>
      <x:c r="T11" s="26" t="n">
        <x:f>0</x:f>
        <x:v>0</x:v>
      </x:c>
    </x:row>
    <x:row r="12" ht="25" customHeight="1">
      <x:c r="A12" s="2"/>
      <x:c r="B12" s="2"/>
      <x:c r="C12" s="32" t="str">
        <x:v>Direct contracts signed</x:v>
      </x:c>
      <x:c r="D12" s="26" t="n">
        <x:f>D11+MIN(D9,D10)</x:f>
        <x:v>5</x:v>
      </x:c>
      <x:c r="E12" s="26" t="n">
        <x:f>E11+MIN(E9,E10)</x:f>
        <x:v>25</x:v>
      </x:c>
      <x:c r="F12" s="26" t="n">
        <x:f>F11+MIN(F9,F10)</x:f>
        <x:v>1.5234375</x:v>
      </x:c>
      <x:c r="G12" s="26" t="n">
        <x:f>G11+MIN(G9,G10)</x:f>
        <x:v>3.9609375</x:v>
      </x:c>
      <x:c r="H12" s="26" t="n">
        <x:f>H11+MIN(H9,H10)</x:f>
        <x:v>6.3984375</x:v>
      </x:c>
      <x:c r="I12" s="26" t="n">
        <x:f>I11+MIN(I9,I10)</x:f>
        <x:v>16.58828125</x:v>
      </x:c>
      <x:c r="J12" s="26" t="n">
        <x:f>J11+MIN(J9,J10)</x:f>
        <x:v>19.55078125</x:v>
      </x:c>
      <x:c r="K12" s="26" t="n">
        <x:f>K11+MIN(K9,K10)</x:f>
        <x:v>32.632031250000004</x:v>
      </x:c>
      <x:c r="L12" s="26" t="n">
        <x:f>L11+MIN(L9,L10)</x:f>
        <x:v>45.71328125</x:v>
      </x:c>
      <x:c r="M12" s="26" t="n">
        <x:f>M11+MIN(M9,M10)</x:f>
        <x:v>79.725</x:v>
      </x:c>
      <x:c r="N12" s="26" t="n">
        <x:f>N11+MIN(N9,N10)</x:f>
        <x:v>94.5</x:v>
      </x:c>
      <x:c r="O12" s="26" t="n">
        <x:f>O11+MIN(O9,O10)</x:f>
        <x:v>129.60000000000002</x:v>
      </x:c>
      <x:c r="P12" s="26" t="n">
        <x:f>P11+MIN(P9,P10)</x:f>
        <x:v>170.27499999999998</x:v>
      </x:c>
      <x:c r="Q12" s="26" t="n">
        <x:f>Q11+MIN(Q9,Q10)</x:f>
        <x:v>237.6078125</x:v>
      </x:c>
      <x:c r="R12" s="26" t="n">
        <x:f>R11+MIN(R9,R10)</x:f>
        <x:v>278.6765625</x:v>
      </x:c>
      <x:c r="S12" s="26" t="n">
        <x:f>S11+MIN(S9,S10)</x:f>
        <x:v>263.25</x:v>
      </x:c>
      <x:c r="T12" s="26" t="n">
        <x:f>T11+MIN(T9,T10)</x:f>
        <x:v>351</x:v>
      </x:c>
    </x:row>
    <x:row r="13" ht="25" customHeight="1">
      <x:c r="A13" s="2"/>
      <x:c r="B13" s="2"/>
      <x:c r="C13" s="32"/>
      <x:c r="D13" s="26"/>
      <x:c r="E13" s="26"/>
      <x:c r="F13" s="26"/>
      <x:c r="G13" s="26"/>
      <x:c r="H13" s="26"/>
      <x:c r="I13" s="26"/>
      <x:c r="J13" s="26"/>
      <x:c r="K13" s="26"/>
      <x:c r="L13" s="26"/>
      <x:c r="M13" s="26"/>
      <x:c r="N13" s="26"/>
      <x:c r="O13" s="26"/>
      <x:c r="P13" s="26"/>
      <x:c r="Q13" s="26"/>
      <x:c r="R13" s="26"/>
      <x:c r="S13" s="26"/>
      <x:c r="T13" s="26"/>
    </x:row>
    <x:row r="14" ht="25" customHeight="1">
      <x:c r="A14" s="2"/>
      <x:c r="B14" s="2"/>
      <x:c r="C14" s="32" t="str">
        <x:v>Partner organisations, quarter end</x:v>
      </x:c>
      <x:c r="D14" s="55" t="n">
        <x:f>'Inputs'!D57</x:f>
        <x:v>0</x:v>
      </x:c>
      <x:c r="E14" s="55" t="n">
        <x:f>'Inputs'!D57+('Inputs'!E57-'Inputs'!D57)*1/4</x:f>
        <x:v>0.5</x:v>
      </x:c>
      <x:c r="F14" s="55" t="n">
        <x:f>'Inputs'!D57+('Inputs'!E57-'Inputs'!D57)*2/4</x:f>
        <x:v>1</x:v>
      </x:c>
      <x:c r="G14" s="55" t="n">
        <x:f>'Inputs'!D57+('Inputs'!E57-'Inputs'!D57)*3/4</x:f>
        <x:v>1.5</x:v>
      </x:c>
      <x:c r="H14" s="55" t="n">
        <x:f>'Inputs'!D57+('Inputs'!E57-'Inputs'!D57)*4/4</x:f>
        <x:v>2</x:v>
      </x:c>
      <x:c r="I14" s="55" t="n">
        <x:f>'Inputs'!E57+('Inputs'!F57-'Inputs'!E57)*1/4</x:f>
        <x:v>3.5</x:v>
      </x:c>
      <x:c r="J14" s="55" t="n">
        <x:f>'Inputs'!E57+('Inputs'!F57-'Inputs'!E57)*2/4</x:f>
        <x:v>5</x:v>
      </x:c>
      <x:c r="K14" s="55" t="n">
        <x:f>'Inputs'!E57+('Inputs'!F57-'Inputs'!E57)*3/4</x:f>
        <x:v>6.5</x:v>
      </x:c>
      <x:c r="L14" s="55" t="n">
        <x:f>'Inputs'!E57+('Inputs'!F57-'Inputs'!E57)*4/4</x:f>
        <x:v>8</x:v>
      </x:c>
      <x:c r="M14" s="55" t="n">
        <x:f>'Inputs'!F57+('Inputs'!G57-'Inputs'!F57)*1/4</x:f>
        <x:v>12.25</x:v>
      </x:c>
      <x:c r="N14" s="55" t="n">
        <x:f>'Inputs'!F57+('Inputs'!G57-'Inputs'!F57)*2/4</x:f>
        <x:v>16.5</x:v>
      </x:c>
      <x:c r="O14" s="55" t="n">
        <x:f>'Inputs'!F57+('Inputs'!G57-'Inputs'!F57)*3/4</x:f>
        <x:v>20.75</x:v>
      </x:c>
      <x:c r="P14" s="55" t="n">
        <x:f>'Inputs'!F57+('Inputs'!G57-'Inputs'!F57)*4/4</x:f>
        <x:v>25</x:v>
      </x:c>
      <x:c r="Q14" s="55" t="n">
        <x:f>'Inputs'!G57+('Inputs'!H57-'Inputs'!G57)*1/4</x:f>
        <x:v>31.25</x:v>
      </x:c>
      <x:c r="R14" s="55" t="n">
        <x:f>'Inputs'!G57+('Inputs'!H57-'Inputs'!G57)*2/4</x:f>
        <x:v>37.5</x:v>
      </x:c>
      <x:c r="S14" s="55" t="n">
        <x:f>'Inputs'!G57+('Inputs'!H57-'Inputs'!G57)*3/4</x:f>
        <x:v>43.75</x:v>
      </x:c>
      <x:c r="T14" s="55" t="n">
        <x:f>'Inputs'!G57+('Inputs'!H57-'Inputs'!G57)*4/4</x:f>
        <x:v>50</x:v>
      </x:c>
    </x:row>
    <x:row r="15" ht="25" customHeight="1">
      <x:c r="A15" s="2"/>
      <x:c r="B15" s="2"/>
      <x:c r="C15" s="32" t="str">
        <x:v>New partner organisations</x:v>
      </x:c>
      <x:c r="D15" s="26" t="n">
        <x:f>D14</x:f>
        <x:v>0</x:v>
      </x:c>
      <x:c r="E15" s="26" t="n">
        <x:f>MAX(0,E14-D14)</x:f>
        <x:v>0.5</x:v>
      </x:c>
      <x:c r="F15" s="26" t="n">
        <x:f>MAX(0,F14-E14)</x:f>
        <x:v>0.5</x:v>
      </x:c>
      <x:c r="G15" s="26" t="n">
        <x:f>MAX(0,G14-F14)</x:f>
        <x:v>0.5</x:v>
      </x:c>
      <x:c r="H15" s="26" t="n">
        <x:f>MAX(0,H14-G14)</x:f>
        <x:v>0.5</x:v>
      </x:c>
      <x:c r="I15" s="26" t="n">
        <x:f>MAX(0,I14-H14)</x:f>
        <x:v>1.5</x:v>
      </x:c>
      <x:c r="J15" s="26" t="n">
        <x:f>MAX(0,J14-I14)</x:f>
        <x:v>1.5</x:v>
      </x:c>
      <x:c r="K15" s="26" t="n">
        <x:f>MAX(0,K14-J14)</x:f>
        <x:v>1.5</x:v>
      </x:c>
      <x:c r="L15" s="26" t="n">
        <x:f>MAX(0,L14-K14)</x:f>
        <x:v>1.5</x:v>
      </x:c>
      <x:c r="M15" s="26" t="n">
        <x:f>MAX(0,M14-L14)</x:f>
        <x:v>4.25</x:v>
      </x:c>
      <x:c r="N15" s="26" t="n">
        <x:f>MAX(0,N14-M14)</x:f>
        <x:v>4.25</x:v>
      </x:c>
      <x:c r="O15" s="26" t="n">
        <x:f>MAX(0,O14-N14)</x:f>
        <x:v>4.25</x:v>
      </x:c>
      <x:c r="P15" s="26" t="n">
        <x:f>MAX(0,P14-O14)</x:f>
        <x:v>4.25</x:v>
      </x:c>
      <x:c r="Q15" s="26" t="n">
        <x:f>MAX(0,Q14-P14)</x:f>
        <x:v>6.25</x:v>
      </x:c>
      <x:c r="R15" s="26" t="n">
        <x:f>MAX(0,R14-Q14)</x:f>
        <x:v>6.25</x:v>
      </x:c>
      <x:c r="S15" s="26" t="n">
        <x:f>MAX(0,S14-R14)</x:f>
        <x:v>6.25</x:v>
      </x:c>
      <x:c r="T15" s="26" t="n">
        <x:f>MAX(0,T14-S14)</x:f>
        <x:v>6.25</x:v>
      </x:c>
    </x:row>
    <x:row r="16" ht="25" customHeight="1">
      <x:c r="A16" s="2"/>
      <x:c r="B16" s="2"/>
      <x:c r="C16" s="32" t="str">
        <x:v>Mature-equivalent partners</x:v>
      </x:c>
      <x:c r="D16" s="26" t="n">
        <x:f>0</x:f>
        <x:v>0</x:v>
      </x:c>
      <x:c r="E16" s="26" t="n">
        <x:f>E15*0.125+D15*0.5</x:f>
        <x:v>0.0625</x:v>
      </x:c>
      <x:c r="F16" s="26" t="n">
        <x:f>D14+E15*0.5+F15*0.125</x:f>
        <x:v>0.3125</x:v>
      </x:c>
      <x:c r="G16" s="26" t="n">
        <x:f>E14+F15*0.5+G15*0.125</x:f>
        <x:v>0.8125</x:v>
      </x:c>
      <x:c r="H16" s="26" t="n">
        <x:f>F14+G15*0.5+H15*0.125</x:f>
        <x:v>1.3125</x:v>
      </x:c>
      <x:c r="I16" s="26" t="n">
        <x:f>G14+H15*0.5+I15*0.125</x:f>
        <x:v>1.9375</x:v>
      </x:c>
      <x:c r="J16" s="26" t="n">
        <x:f>H14+I15*0.5+J15*0.125</x:f>
        <x:v>2.9375</x:v>
      </x:c>
      <x:c r="K16" s="26" t="n">
        <x:f>I14+J15*0.5+K15*0.125</x:f>
        <x:v>4.4375</x:v>
      </x:c>
      <x:c r="L16" s="26" t="n">
        <x:f>J14+K15*0.5+L15*0.125</x:f>
        <x:v>5.9375</x:v>
      </x:c>
      <x:c r="M16" s="26" t="n">
        <x:f>K14+L15*0.5+M15*0.125</x:f>
        <x:v>7.78125</x:v>
      </x:c>
      <x:c r="N16" s="26" t="n">
        <x:f>L14+M15*0.5+N15*0.125</x:f>
        <x:v>10.65625</x:v>
      </x:c>
      <x:c r="O16" s="26" t="n">
        <x:f>M14+N15*0.5+O15*0.125</x:f>
        <x:v>14.90625</x:v>
      </x:c>
      <x:c r="P16" s="26" t="n">
        <x:f>N14+O15*0.5+P15*0.125</x:f>
        <x:v>19.15625</x:v>
      </x:c>
      <x:c r="Q16" s="26" t="n">
        <x:f>O14+P15*0.5+Q15*0.125</x:f>
        <x:v>23.65625</x:v>
      </x:c>
      <x:c r="R16" s="26" t="n">
        <x:f>P14+Q15*0.5+R15*0.125</x:f>
        <x:v>28.90625</x:v>
      </x:c>
      <x:c r="S16" s="26" t="n">
        <x:f>Q14+R15*0.5+S15*0.125</x:f>
        <x:v>35.15625</x:v>
      </x:c>
      <x:c r="T16" s="26" t="n">
        <x:f>R14+S15*0.5+T15*0.125</x:f>
        <x:v>41.40625</x:v>
      </x:c>
    </x:row>
    <x:row r="17" ht="25" customHeight="1">
      <x:c r="A17" s="2"/>
      <x:c r="B17" s="2"/>
      <x:c r="C17" s="32" t="str">
        <x:v>Partner contracts signed</x:v>
      </x:c>
      <x:c r="D17" s="55" t="n">
        <x:f>D16*'Inputs'!D62/4</x:f>
        <x:v>0</x:v>
      </x:c>
      <x:c r="E17" s="55" t="n">
        <x:f>E16*'Inputs'!E62/4</x:f>
        <x:v>0.0625</x:v>
      </x:c>
      <x:c r="F17" s="55" t="n">
        <x:f>F16*'Inputs'!E62/4</x:f>
        <x:v>0.3125</x:v>
      </x:c>
      <x:c r="G17" s="55" t="n">
        <x:f>G16*'Inputs'!E62/4</x:f>
        <x:v>0.8125</x:v>
      </x:c>
      <x:c r="H17" s="55" t="n">
        <x:f>H16*'Inputs'!E62/4</x:f>
        <x:v>1.3125</x:v>
      </x:c>
      <x:c r="I17" s="55" t="n">
        <x:f>I16*'Inputs'!F62/4</x:f>
        <x:v>2.90625</x:v>
      </x:c>
      <x:c r="J17" s="55" t="n">
        <x:f>J16*'Inputs'!F62/4</x:f>
        <x:v>4.40625</x:v>
      </x:c>
      <x:c r="K17" s="55" t="n">
        <x:f>K16*'Inputs'!F62/4</x:f>
        <x:v>6.65625</x:v>
      </x:c>
      <x:c r="L17" s="55" t="n">
        <x:f>L16*'Inputs'!F62/4</x:f>
        <x:v>8.90625</x:v>
      </x:c>
      <x:c r="M17" s="55" t="n">
        <x:f>M16*'Inputs'!G62/4</x:f>
        <x:v>15.5625</x:v>
      </x:c>
      <x:c r="N17" s="55" t="n">
        <x:f>N16*'Inputs'!G62/4</x:f>
        <x:v>21.3125</x:v>
      </x:c>
      <x:c r="O17" s="55" t="n">
        <x:f>O16*'Inputs'!G62/4</x:f>
        <x:v>29.8125</x:v>
      </x:c>
      <x:c r="P17" s="55" t="n">
        <x:f>P16*'Inputs'!G62/4</x:f>
        <x:v>38.3125</x:v>
      </x:c>
      <x:c r="Q17" s="55" t="n">
        <x:f>Q16*'Inputs'!H62/4</x:f>
        <x:v>59.140625</x:v>
      </x:c>
      <x:c r="R17" s="55" t="n">
        <x:f>R16*'Inputs'!H62/4</x:f>
        <x:v>72.265625</x:v>
      </x:c>
      <x:c r="S17" s="55" t="n">
        <x:f>S16*'Inputs'!H62/4</x:f>
        <x:v>87.890625</x:v>
      </x:c>
      <x:c r="T17" s="55" t="n">
        <x:f>T16*'Inputs'!H62/4</x:f>
        <x:v>103.515625</x:v>
      </x:c>
    </x:row>
    <x:row r="18" ht="25" customHeight="1">
      <x:c r="A18" s="2"/>
      <x:c r="B18" s="2"/>
      <x:c r="C18" s="60" t="str">
        <x:v>Total contracts signed</x:v>
      </x:c>
      <x:c r="D18" s="48" t="n">
        <x:f>D12+D17</x:f>
        <x:v>5</x:v>
      </x:c>
      <x:c r="E18" s="48" t="n">
        <x:f>E12+E17</x:f>
        <x:v>25.0625</x:v>
      </x:c>
      <x:c r="F18" s="48" t="n">
        <x:f>F12+F17</x:f>
        <x:v>1.8359375</x:v>
      </x:c>
      <x:c r="G18" s="48" t="n">
        <x:f>G12+G17</x:f>
        <x:v>4.7734375</x:v>
      </x:c>
      <x:c r="H18" s="48" t="n">
        <x:f>H12+H17</x:f>
        <x:v>7.7109375</x:v>
      </x:c>
      <x:c r="I18" s="48" t="n">
        <x:f>I12+I17</x:f>
        <x:v>19.49453125</x:v>
      </x:c>
      <x:c r="J18" s="48" t="n">
        <x:f>J12+J17</x:f>
        <x:v>23.95703125</x:v>
      </x:c>
      <x:c r="K18" s="48" t="n">
        <x:f>K12+K17</x:f>
        <x:v>39.288281250000004</x:v>
      </x:c>
      <x:c r="L18" s="48" t="n">
        <x:f>L12+L17</x:f>
        <x:v>54.61953125</x:v>
      </x:c>
      <x:c r="M18" s="48" t="n">
        <x:f>M12+M17</x:f>
        <x:v>95.2875</x:v>
      </x:c>
      <x:c r="N18" s="48" t="n">
        <x:f>N12+N17</x:f>
        <x:v>115.8125</x:v>
      </x:c>
      <x:c r="O18" s="48" t="n">
        <x:f>O12+O17</x:f>
        <x:v>159.41250000000002</x:v>
      </x:c>
      <x:c r="P18" s="48" t="n">
        <x:f>P12+P17</x:f>
        <x:v>208.58749999999998</x:v>
      </x:c>
      <x:c r="Q18" s="48" t="n">
        <x:f>Q12+Q17</x:f>
        <x:v>296.7484375</x:v>
      </x:c>
      <x:c r="R18" s="48" t="n">
        <x:f>R12+R17</x:f>
        <x:v>350.9421875</x:v>
      </x:c>
      <x:c r="S18" s="48" t="n">
        <x:f>S12+S17</x:f>
        <x:v>351.140625</x:v>
      </x:c>
      <x:c r="T18" s="48" t="n">
        <x:f>T12+T17</x:f>
        <x:v>454.515625</x:v>
      </x:c>
    </x:row>
    <x:row r="19" ht="27" customHeight="1">
      <x:c r="A19" s="2"/>
      <x:c r="B19" s="2"/>
      <x:c r="C19" s="61" t="str">
        <x:v>Activation and delivery backlog</x:v>
      </x:c>
      <x:c r="D19" s="46"/>
      <x:c r="E19" s="46"/>
      <x:c r="F19" s="46"/>
      <x:c r="G19" s="46"/>
      <x:c r="H19" s="46"/>
      <x:c r="I19" s="46"/>
      <x:c r="J19" s="46"/>
      <x:c r="K19" s="46"/>
      <x:c r="L19" s="46"/>
      <x:c r="M19" s="46"/>
      <x:c r="N19" s="46"/>
      <x:c r="O19" s="46"/>
      <x:c r="P19" s="46"/>
      <x:c r="Q19" s="46"/>
      <x:c r="R19" s="46"/>
      <x:c r="S19" s="46"/>
      <x:c r="T19" s="46"/>
    </x:row>
    <x:row r="20" ht="25" customHeight="1">
      <x:c r="A20" s="2"/>
      <x:c r="B20" s="2"/>
      <x:c r="C20" s="32" t="str">
        <x:v>Eligible direct contracts incl. backlog</x:v>
      </x:c>
      <x:c r="D20" s="26" t="n">
        <x:f>0</x:f>
        <x:v>0</x:v>
      </x:c>
      <x:c r="E20" s="55" t="n">
        <x:f>D30+IF(1&lt;'Inputs'!E72,0,INDEX($D$12:$T$12,1,MAX(1,2-'Inputs'!E72)))</x:f>
        <x:v>5</x:v>
      </x:c>
      <x:c r="F20" s="55" t="n">
        <x:f>E30+IF(2&lt;'Inputs'!E72,0,INDEX($D$12:$T$12,1,MAX(1,3-'Inputs'!E72)))</x:f>
        <x:v>25</x:v>
      </x:c>
      <x:c r="G20" s="55" t="n">
        <x:f>F30+IF(3&lt;'Inputs'!E72,0,INDEX($D$12:$T$12,1,MAX(1,4-'Inputs'!E72)))</x:f>
        <x:v>17.483537250623442</x:v>
      </x:c>
      <x:c r="H20" s="55" t="n">
        <x:f>G30+IF(4&lt;'Inputs'!E72,0,INDEX($D$12:$T$12,1,MAX(1,5-'Inputs'!E72)))</x:f>
        <x:v>13.786333160337222</x:v>
      </x:c>
      <x:c r="I20" s="55" t="n">
        <x:f>H30+IF(5&lt;'Inputs'!F72,0,INDEX($D$12:$T$12,1,MAX(1,6-'Inputs'!F72)))</x:f>
        <x:v>11.450029481665274</x:v>
      </x:c>
      <x:c r="J20" s="55" t="n">
        <x:f>I30+IF(6&lt;'Inputs'!F72,0,INDEX($D$12:$T$12,1,MAX(1,7-'Inputs'!F72)))</x:f>
        <x:v>16.58828125</x:v>
      </x:c>
      <x:c r="K20" s="55" t="n">
        <x:f>J30+IF(7&lt;'Inputs'!F72,0,INDEX($D$12:$T$12,1,MAX(1,8-'Inputs'!F72)))</x:f>
        <x:v>19.55078125</x:v>
      </x:c>
      <x:c r="L20" s="55" t="n">
        <x:f>K30+IF(8&lt;'Inputs'!F72,0,INDEX($D$12:$T$12,1,MAX(1,9-'Inputs'!F72)))</x:f>
        <x:v>32.632031250000004</x:v>
      </x:c>
      <x:c r="M20" s="55" t="n">
        <x:f>L30+IF(9&lt;'Inputs'!G72,0,INDEX($D$12:$T$12,1,MAX(1,10-'Inputs'!G72)))</x:f>
        <x:v>47.995427522668976</x:v>
      </x:c>
      <x:c r="N20" s="55" t="n">
        <x:f>M30+IF(10&lt;'Inputs'!G72,0,INDEX($D$12:$T$12,1,MAX(1,11-'Inputs'!G72)))</x:f>
        <x:v>79.725</x:v>
      </x:c>
      <x:c r="O20" s="55" t="n">
        <x:f>N30+IF(11&lt;'Inputs'!G72,0,INDEX($D$12:$T$12,1,MAX(1,12-'Inputs'!G72)))</x:f>
        <x:v>94.5</x:v>
      </x:c>
      <x:c r="P20" s="55" t="n">
        <x:f>O30+IF(12&lt;'Inputs'!G72,0,INDEX($D$12:$T$12,1,MAX(1,13-'Inputs'!G72)))</x:f>
        <x:v>129.60000000000002</x:v>
      </x:c>
      <x:c r="Q20" s="55" t="n">
        <x:f>P30+IF(13&lt;'Inputs'!H72,0,INDEX($D$12:$T$12,1,MAX(1,14-'Inputs'!H72)))</x:f>
        <x:v>170.27499999999998</x:v>
      </x:c>
      <x:c r="R20" s="55" t="n">
        <x:f>Q30+IF(14&lt;'Inputs'!H72,0,INDEX($D$12:$T$12,1,MAX(1,15-'Inputs'!H72)))</x:f>
        <x:v>237.60781249999997</x:v>
      </x:c>
      <x:c r="S20" s="55" t="n">
        <x:f>R30+IF(15&lt;'Inputs'!H72,0,INDEX($D$12:$T$12,1,MAX(1,16-'Inputs'!H72)))</x:f>
        <x:v>278.67656250000005</x:v>
      </x:c>
      <x:c r="T20" s="55" t="n">
        <x:f>S30+IF(16&lt;'Inputs'!H72,0,INDEX($D$12:$T$12,1,MAX(1,17-'Inputs'!H72)))</x:f>
        <x:v>276.9356777774981</x:v>
      </x:c>
    </x:row>
    <x:row r="21" ht="25" customHeight="1">
      <x:c r="A21" s="2"/>
      <x:c r="B21" s="2"/>
      <x:c r="C21" s="32" t="str">
        <x:v>Eligible partner contracts incl. backlog</x:v>
      </x:c>
      <x:c r="D21" s="26" t="n">
        <x:f>0</x:f>
        <x:v>0</x:v>
      </x:c>
      <x:c r="E21" s="55" t="n">
        <x:f>D31+IF(1&lt;'Inputs'!E72,0,INDEX($D$17:$T$17,1,MAX(1,2-'Inputs'!E72)))</x:f>
        <x:v>0</x:v>
      </x:c>
      <x:c r="F21" s="55" t="n">
        <x:f>E31+IF(2&lt;'Inputs'!E72,0,INDEX($D$17:$T$17,1,MAX(1,3-'Inputs'!E72)))</x:f>
        <x:v>0.0625</x:v>
      </x:c>
      <x:c r="G21" s="55" t="n">
        <x:f>F31+IF(3&lt;'Inputs'!E72,0,INDEX($D$17:$T$17,1,MAX(1,4-'Inputs'!E72)))</x:f>
        <x:v>0.3524002493765579</x:v>
      </x:c>
      <x:c r="H21" s="55" t="n">
        <x:f>G31+IF(4&lt;'Inputs'!E72,0,INDEX($D$17:$T$17,1,MAX(1,5-'Inputs'!E72)))</x:f>
        <x:v>1.0105418396627783</x:v>
      </x:c>
      <x:c r="I21" s="55" t="n">
        <x:f>H31+IF(5&lt;'Inputs'!F72,0,INDEX($D$17:$T$17,1,MAX(1,6-'Inputs'!F72)))</x:f>
        <x:v>1.6827830183347263</x:v>
      </x:c>
      <x:c r="J21" s="55" t="n">
        <x:f>I31+IF(6&lt;'Inputs'!F72,0,INDEX($D$17:$T$17,1,MAX(1,7-'Inputs'!F72)))</x:f>
        <x:v>2.9062500000000018</x:v>
      </x:c>
      <x:c r="K21" s="55" t="n">
        <x:f>J31+IF(7&lt;'Inputs'!F72,0,INDEX($D$17:$T$17,1,MAX(1,8-'Inputs'!F72)))</x:f>
        <x:v>4.406250000000002</x:v>
      </x:c>
      <x:c r="L21" s="55" t="n">
        <x:f>K31+IF(8&lt;'Inputs'!F72,0,INDEX($D$17:$T$17,1,MAX(1,9-'Inputs'!F72)))</x:f>
        <x:v>6.656250000000002</x:v>
      </x:c>
      <x:c r="M21" s="55" t="n">
        <x:f>L31+IF(9&lt;'Inputs'!G72,0,INDEX($D$17:$T$17,1,MAX(1,10-'Inputs'!G72)))</x:f>
        <x:v>9.371759977331033</x:v>
      </x:c>
      <x:c r="N21" s="55" t="n">
        <x:f>M31+IF(10&lt;'Inputs'!G72,0,INDEX($D$17:$T$17,1,MAX(1,11-'Inputs'!G72)))</x:f>
        <x:v>15.562500000000002</x:v>
      </x:c>
      <x:c r="O21" s="55" t="n">
        <x:f>N31+IF(11&lt;'Inputs'!G72,0,INDEX($D$17:$T$17,1,MAX(1,12-'Inputs'!G72)))</x:f>
        <x:v>21.3125</x:v>
      </x:c>
      <x:c r="P21" s="55" t="n">
        <x:f>O31+IF(12&lt;'Inputs'!G72,0,INDEX($D$17:$T$17,1,MAX(1,13-'Inputs'!G72)))</x:f>
        <x:v>29.8125</x:v>
      </x:c>
      <x:c r="Q21" s="55" t="n">
        <x:f>P31+IF(13&lt;'Inputs'!H72,0,INDEX($D$17:$T$17,1,MAX(1,14-'Inputs'!H72)))</x:f>
        <x:v>38.3125</x:v>
      </x:c>
      <x:c r="R21" s="55" t="n">
        <x:f>Q31+IF(14&lt;'Inputs'!H72,0,INDEX($D$17:$T$17,1,MAX(1,15-'Inputs'!H72)))</x:f>
        <x:v>59.14062500000003</x:v>
      </x:c>
      <x:c r="S21" s="55" t="n">
        <x:f>R31+IF(15&lt;'Inputs'!H72,0,INDEX($D$17:$T$17,1,MAX(1,16-'Inputs'!H72)))</x:f>
        <x:v>72.26562499999994</x:v>
      </x:c>
      <x:c r="T21" s="55" t="n">
        <x:f>S31+IF(16&lt;'Inputs'!H72,0,INDEX($D$17:$T$17,1,MAX(1,17-'Inputs'!H72)))</x:f>
        <x:v>91.43955659750208</x:v>
      </x:c>
    </x:row>
    <x:row r="22" ht="25" customHeight="1">
      <x:c r="A22" s="2"/>
      <x:c r="B22" s="2"/>
      <x:c r="C22" s="32" t="str">
        <x:v>Eligible contracts for activation</x:v>
      </x:c>
      <x:c r="D22" s="26" t="n">
        <x:f>D20+D21</x:f>
        <x:v>0</x:v>
      </x:c>
      <x:c r="E22" s="26" t="n">
        <x:f>E20+E21</x:f>
        <x:v>5</x:v>
      </x:c>
      <x:c r="F22" s="26" t="n">
        <x:f>F20+F21</x:f>
        <x:v>25.0625</x:v>
      </x:c>
      <x:c r="G22" s="26" t="n">
        <x:f>G20+G21</x:f>
        <x:v>17.8359375</x:v>
      </x:c>
      <x:c r="H22" s="26" t="n">
        <x:f>H20+H21</x:f>
        <x:v>14.796875</x:v>
      </x:c>
      <x:c r="I22" s="26" t="n">
        <x:f>I20+I21</x:f>
        <x:v>13.1328125</x:v>
      </x:c>
      <x:c r="J22" s="26" t="n">
        <x:f>J20+J21</x:f>
        <x:v>19.49453125</x:v>
      </x:c>
      <x:c r="K22" s="26" t="n">
        <x:f>K20+K21</x:f>
        <x:v>23.95703125</x:v>
      </x:c>
      <x:c r="L22" s="26" t="n">
        <x:f>L20+L21</x:f>
        <x:v>39.288281250000004</x:v>
      </x:c>
      <x:c r="M22" s="26" t="n">
        <x:f>M20+M21</x:f>
        <x:v>57.36718750000001</x:v>
      </x:c>
      <x:c r="N22" s="26" t="n">
        <x:f>N20+N21</x:f>
        <x:v>95.2875</x:v>
      </x:c>
      <x:c r="O22" s="26" t="n">
        <x:f>O20+O21</x:f>
        <x:v>115.8125</x:v>
      </x:c>
      <x:c r="P22" s="26" t="n">
        <x:f>P20+P21</x:f>
        <x:v>159.41250000000002</x:v>
      </x:c>
      <x:c r="Q22" s="26" t="n">
        <x:f>Q20+Q21</x:f>
        <x:v>208.58749999999998</x:v>
      </x:c>
      <x:c r="R22" s="26" t="n">
        <x:f>R20+R21</x:f>
        <x:v>296.7484375</x:v>
      </x:c>
      <x:c r="S22" s="26" t="n">
        <x:f>S20+S21</x:f>
        <x:v>350.9421875</x:v>
      </x:c>
      <x:c r="T22" s="26" t="n">
        <x:f>T20+T21</x:f>
        <x:v>368.37523437500016</x:v>
      </x:c>
    </x:row>
    <x:row r="23" ht="25" customHeight="1">
      <x:c r="A23" s="2"/>
      <x:c r="B23" s="2"/>
      <x:c r="C23" s="32" t="str">
        <x:v>Opening active customers</x:v>
      </x:c>
      <x:c r="D23" s="26" t="n">
        <x:f>0</x:f>
        <x:v>0</x:v>
      </x:c>
      <x:c r="E23" s="55" t="n">
        <x:f>'Revenue'!D7</x:f>
        <x:v>0</x:v>
      </x:c>
      <x:c r="F23" s="55" t="n">
        <x:f>'Revenue'!E7</x:f>
        <x:v>4</x:v>
      </x:c>
      <x:c r="G23" s="55" t="n">
        <x:f>'Revenue'!F7</x:f>
        <x:v>11.25</x:v>
      </x:c>
      <x:c r="H23" s="55" t="n">
        <x:f>'Revenue'!G7</x:f>
        <x:v>17.5</x:v>
      </x:c>
      <x:c r="I23" s="55" t="n">
        <x:f>'Revenue'!H7</x:f>
        <x:v>25</x:v>
      </x:c>
      <x:c r="J23" s="55" t="n">
        <x:f>'Revenue'!I7</x:f>
        <x:v>35.10625</x:v>
      </x:c>
      <x:c r="K23" s="55" t="n">
        <x:f>'Revenue'!J7</x:f>
        <x:v>49.97687500000001</x:v>
      </x:c>
      <x:c r="L23" s="55" t="n">
        <x:f>'Revenue'!K7</x:f>
        <x:v>68.51750000000001</x:v>
      </x:c>
      <x:c r="M23" s="55" t="n">
        <x:f>'Revenue'!L7</x:f>
        <x:v>97.00000000000001</x:v>
      </x:c>
      <x:c r="N23" s="55" t="n">
        <x:f>'Revenue'!M7</x:f>
        <x:v>141.76525000000004</x:v>
      </x:c>
      <x:c r="O23" s="55" t="n">
        <x:f>'Revenue'!N7</x:f>
        <x:v>216.22560000000004</x:v>
      </x:c>
      <x:c r="P23" s="55" t="n">
        <x:f>'Revenue'!O7</x:f>
        <x:v>306.8923500000001</x:v>
      </x:c>
      <x:c r="Q23" s="55" t="n">
        <x:f>'Revenue'!P7</x:f>
        <x:v>431.5437500000001</x:v>
      </x:c>
      <x:c r="R23" s="55" t="n">
        <x:f>'Revenue'!Q7</x:f>
        <x:v>593.7040300000001</x:v>
      </x:c>
      <x:c r="S23" s="55" t="n">
        <x:f>'Revenue'!R7</x:f>
        <x:v>823.3763020000001</x:v>
      </x:c>
      <x:c r="T23" s="55" t="n">
        <x:f>'Revenue'!S7</x:f>
        <x:v>1081.1057745</x:v>
      </x:c>
    </x:row>
    <x:row r="24" ht="25" customHeight="1">
      <x:c r="A24" s="2"/>
      <x:c r="B24" s="2"/>
      <x:c r="C24" s="32" t="str">
        <x:v>Maximum activation capacity</x:v>
      </x:c>
      <x:c r="D24" s="55" t="n">
        <x:f>'People'!D39+'People'!D40</x:f>
        <x:v>1.103448275862069</x:v>
      </x:c>
      <x:c r="E24" s="55" t="n">
        <x:f>'People'!E39+'People'!E40</x:f>
        <x:v>10.741626794258373</x:v>
      </x:c>
      <x:c r="F24" s="55" t="n">
        <x:f>'People'!F39+'People'!F40</x:f>
        <x:v>17.713602187286398</x:v>
      </x:c>
      <x:c r="G24" s="55" t="n">
        <x:f>'People'!G39+'People'!G40</x:f>
        <x:v>24.574504442925495</x:v>
      </x:c>
      <x:c r="H24" s="55" t="n">
        <x:f>'People'!H39+'People'!H40</x:f>
        <x:v>31.469583048530414</x:v>
      </x:c>
      <x:c r="I24" s="55" t="n">
        <x:f>'People'!I39+'People'!I40</x:f>
        <x:v>49.99509288468279</x:v>
      </x:c>
      <x:c r="J24" s="55" t="n">
        <x:f>'People'!J39+'People'!J40</x:f>
        <x:v>64.29284963196635</x:v>
      </x:c>
      <x:c r="K24" s="55" t="n">
        <x:f>'People'!K39+'People'!K40</x:f>
        <x:v>78.45701016473888</x:v>
      </x:c>
      <x:c r="L24" s="55" t="n">
        <x:f>'People'!L39+'People'!L40</x:f>
        <x:v>92.51826147914475</x:v>
      </x:c>
      <x:c r="M24" s="55" t="n">
        <x:f>'People'!M39+'People'!M40</x:f>
        <x:v>176.77981651376146</x:v>
      </x:c>
      <x:c r="N24" s="55" t="n">
        <x:f>'People'!N39+'People'!N40</x:f>
        <x:v>219.58444266055045</x:v>
      </x:c>
      <x:c r="O24" s="55" t="n">
        <x:f>'People'!O39+'People'!O40</x:f>
        <x:v>261.5717724770642</x:v>
      </x:c>
      <x:c r="P24" s="55" t="n">
        <x:f>'People'!P39+'People'!P40</x:f>
        <x:v>303.113054587156</x:v>
      </x:c>
      <x:c r="Q24" s="55" t="n">
        <x:f>'People'!Q39+'People'!Q40</x:f>
        <x:v>498.2965773809524</x:v>
      </x:c>
      <x:c r="R24" s="55" t="n">
        <x:f>'People'!R39+'People'!R40</x:f>
        <x:v>589.6737135714286</x:v>
      </x:c>
      <x:c r="S24" s="55" t="n">
        <x:f>'People'!S39+'People'!S40</x:f>
        <x:v>679.4434213809524</x:v>
      </x:c>
      <x:c r="T24" s="55" t="n">
        <x:f>'People'!T39+'People'!T40</x:f>
        <x:v>768.5451006071429</x:v>
      </x:c>
    </x:row>
    <x:row r="25" ht="25" customHeight="1">
      <x:c r="A25" s="2"/>
      <x:c r="B25" s="2"/>
      <x:c r="C25" s="60" t="str">
        <x:v>Customers activated</x:v>
      </x:c>
      <x:c r="D25" s="48" t="n">
        <x:f>MIN(D22,D24,D78)</x:f>
        <x:v>0</x:v>
      </x:c>
      <x:c r="E25" s="48" t="n">
        <x:f>MIN(E22,E24,E78)</x:f>
        <x:v>5</x:v>
      </x:c>
      <x:c r="F25" s="48" t="n">
        <x:f>MIN(F22,F24,F78)</x:f>
        <x:v>9.0625</x:v>
      </x:c>
      <x:c r="G25" s="48" t="n">
        <x:f>MIN(G22,G24,G78)</x:f>
        <x:v>7.8125</x:v>
      </x:c>
      <x:c r="H25" s="48" t="n">
        <x:f>MIN(H22,H24,H78)</x:f>
        <x:v>9.375</x:v>
      </x:c>
      <x:c r="I25" s="48" t="n">
        <x:f>MIN(I22,I24,I78)</x:f>
        <x:v>13.1328125</x:v>
      </x:c>
      <x:c r="J25" s="48" t="n">
        <x:f>MIN(J22,J24,J78)</x:f>
        <x:v>19.49453125</x:v>
      </x:c>
      <x:c r="K25" s="48" t="n">
        <x:f>MIN(K22,K24,K78)</x:f>
        <x:v>23.95703125</x:v>
      </x:c>
      <x:c r="L25" s="48" t="n">
        <x:f>MIN(L22,L24,L78)</x:f>
        <x:v>36.540625</x:v>
      </x:c>
      <x:c r="M25" s="48" t="n">
        <x:f>MIN(M22,M24,M78)</x:f>
        <x:v>57.36718750000001</x:v>
      </x:c>
      <x:c r="N25" s="48" t="n">
        <x:f>MIN(N22,N24,N78)</x:f>
        <x:v>95.2875</x:v>
      </x:c>
      <x:c r="O25" s="48" t="n">
        <x:f>MIN(O22,O24,O78)</x:f>
        <x:v>115.8125</x:v>
      </x:c>
      <x:c r="P25" s="48" t="n">
        <x:f>MIN(P22,P24,P78)</x:f>
        <x:v>159.41250000000002</x:v>
      </x:c>
      <x:c r="Q25" s="48" t="n">
        <x:f>MIN(Q22,Q24,Q78)</x:f>
        <x:v>208.58749999999998</x:v>
      </x:c>
      <x:c r="R25" s="48" t="n">
        <x:f>MIN(R22,R24,R78)</x:f>
        <x:v>296.7484375</x:v>
      </x:c>
      <x:c r="S25" s="48" t="n">
        <x:f>MIN(S22,S24,S78)</x:f>
        <x:v>333.7075781249998</x:v>
      </x:c>
      <x:c r="T25" s="48" t="n">
        <x:f>MIN(T22,T24,T78)</x:f>
        <x:v>279.681171875</x:v>
      </x:c>
    </x:row>
    <x:row r="26" ht="25" customHeight="1">
      <x:c r="A26" s="2"/>
      <x:c r="B26" s="2"/>
      <x:c r="C26" s="32" t="str">
        <x:v>Direct activations</x:v>
      </x:c>
      <x:c r="D26" s="26" t="n">
        <x:f>IF(D22=0,0,D25*D20/D22)</x:f>
        <x:v>0</x:v>
      </x:c>
      <x:c r="E26" s="26" t="n">
        <x:f>IF(E22=0,0,E25*E20/E22)</x:f>
        <x:v>5</x:v>
      </x:c>
      <x:c r="F26" s="26" t="n">
        <x:f>IF(F22=0,0,F25*F20/F22)</x:f>
        <x:v>9.039900249376558</x:v>
      </x:c>
      <x:c r="G26" s="26" t="n">
        <x:f>IF(G22=0,0,G25*G20/G22)</x:f>
        <x:v>7.65814159028622</x:v>
      </x:c>
      <x:c r="H26" s="26" t="n">
        <x:f>IF(H22=0,0,H25*H20/H22)</x:f>
        <x:v>8.734741178671948</x:v>
      </x:c>
      <x:c r="I26" s="26" t="n">
        <x:f>IF(I22=0,0,I25*I20/I22)</x:f>
        <x:v>11.450029481665275</x:v>
      </x:c>
      <x:c r="J26" s="26" t="n">
        <x:f>IF(J22=0,0,J25*J20/J22)</x:f>
        <x:v>16.58828125</x:v>
      </x:c>
      <x:c r="K26" s="26" t="n">
        <x:f>IF(K22=0,0,K25*K20/K22)</x:f>
        <x:v>19.55078125</x:v>
      </x:c>
      <x:c r="L26" s="26" t="n">
        <x:f>IF(L22=0,0,L25*L20/L22)</x:f>
        <x:v>30.34988497733103</x:v>
      </x:c>
      <x:c r="M26" s="26" t="n">
        <x:f>IF(M22=0,0,M25*M20/M22)</x:f>
        <x:v>47.995427522668976</x:v>
      </x:c>
      <x:c r="N26" s="26" t="n">
        <x:f>IF(N22=0,0,N25*N20/N22)</x:f>
        <x:v>79.725</x:v>
      </x:c>
      <x:c r="O26" s="26" t="n">
        <x:f>IF(O22=0,0,O25*O20/O22)</x:f>
        <x:v>94.5</x:v>
      </x:c>
      <x:c r="P26" s="26" t="n">
        <x:f>IF(P22=0,0,P25*P20/P22)</x:f>
        <x:v>129.60000000000002</x:v>
      </x:c>
      <x:c r="Q26" s="26" t="n">
        <x:f>IF(Q22=0,0,Q25*Q20/Q22)</x:f>
        <x:v>170.275</x:v>
      </x:c>
      <x:c r="R26" s="26" t="n">
        <x:f>IF(R22=0,0,R25*R20/R22)</x:f>
        <x:v>237.60781249999994</x:v>
      </x:c>
      <x:c r="S26" s="26" t="n">
        <x:f>IF(S22=0,0,S25*S20/S22)</x:f>
        <x:v>264.99088472250196</x:v>
      </x:c>
      <x:c r="T26" s="26" t="n">
        <x:f>IF(T22=0,0,T25*T20/T22)</x:f>
        <x:v>210.25760601474482</x:v>
      </x:c>
    </x:row>
    <x:row r="27" ht="25" customHeight="1">
      <x:c r="A27" s="2"/>
      <x:c r="B27" s="2"/>
      <x:c r="C27" s="32" t="str">
        <x:v>Partner activations</x:v>
      </x:c>
      <x:c r="D27" s="26" t="n">
        <x:f>D25-D26</x:f>
        <x:v>0</x:v>
      </x:c>
      <x:c r="E27" s="26" t="n">
        <x:f>E25-E26</x:f>
        <x:v>0</x:v>
      </x:c>
      <x:c r="F27" s="26" t="n">
        <x:f>F25-F26</x:f>
        <x:v>0.022599750623442105</x:v>
      </x:c>
      <x:c r="G27" s="26" t="n">
        <x:f>G25-G26</x:f>
        <x:v>0.15435840971377957</x:v>
      </x:c>
      <x:c r="H27" s="26" t="n">
        <x:f>H25-H26</x:f>
        <x:v>0.640258821328052</x:v>
      </x:c>
      <x:c r="I27" s="26" t="n">
        <x:f>I25-I26</x:f>
        <x:v>1.6827830183347245</x:v>
      </x:c>
      <x:c r="J27" s="26" t="n">
        <x:f>J25-J26</x:f>
        <x:v>2.90625</x:v>
      </x:c>
      <x:c r="K27" s="26" t="n">
        <x:f>K25-K26</x:f>
        <x:v>4.40625</x:v>
      </x:c>
      <x:c r="L27" s="26" t="n">
        <x:f>L25-L26</x:f>
        <x:v>6.190740022668969</x:v>
      </x:c>
      <x:c r="M27" s="26" t="n">
        <x:f>M25-M26</x:f>
        <x:v>9.371759977331031</x:v>
      </x:c>
      <x:c r="N27" s="26" t="n">
        <x:f>N25-N26</x:f>
        <x:v>15.5625</x:v>
      </x:c>
      <x:c r="O27" s="26" t="n">
        <x:f>O25-O26</x:f>
        <x:v>21.3125</x:v>
      </x:c>
      <x:c r="P27" s="26" t="n">
        <x:f>P25-P26</x:f>
        <x:v>29.8125</x:v>
      </x:c>
      <x:c r="Q27" s="26" t="n">
        <x:f>Q25-Q26</x:f>
        <x:v>38.31249999999997</x:v>
      </x:c>
      <x:c r="R27" s="26" t="n">
        <x:f>R25-R26</x:f>
        <x:v>59.140625000000085</x:v>
      </x:c>
      <x:c r="S27" s="26" t="n">
        <x:f>S25-S26</x:f>
        <x:v>68.71669340249787</x:v>
      </x:c>
      <x:c r="T27" s="26" t="n">
        <x:f>T25-T26</x:f>
        <x:v>69.4235658602552</x:v>
      </x:c>
    </x:row>
    <x:row r="28" ht="25" customHeight="1">
      <x:c r="A28" s="2"/>
      <x:c r="B28" s="2"/>
      <x:c r="C28" s="32" t="str">
        <x:v>External implementations used</x:v>
      </x:c>
      <x:c r="D28" s="55" t="n">
        <x:f>MAX(0,D25-'People'!D39)</x:f>
        <x:v>0</x:v>
      </x:c>
      <x:c r="E28" s="55" t="n">
        <x:f>MAX(0,E25-'People'!E39)</x:f>
        <x:v>0</x:v>
      </x:c>
      <x:c r="F28" s="55" t="n">
        <x:f>MAX(0,F25-'People'!F39)</x:f>
        <x:v>0</x:v>
      </x:c>
      <x:c r="G28" s="55" t="n">
        <x:f>MAX(0,G25-'People'!G39)</x:f>
        <x:v>0</x:v>
      </x:c>
      <x:c r="H28" s="55" t="n">
        <x:f>MAX(0,H25-'People'!H39)</x:f>
        <x:v>0</x:v>
      </x:c>
      <x:c r="I28" s="55" t="n">
        <x:f>MAX(0,I25-'People'!I39)</x:f>
        <x:v>0</x:v>
      </x:c>
      <x:c r="J28" s="55" t="n">
        <x:f>MAX(0,J25-'People'!J39)</x:f>
        <x:v>0</x:v>
      </x:c>
      <x:c r="K28" s="55" t="n">
        <x:f>MAX(0,K25-'People'!K39)</x:f>
        <x:v>0</x:v>
      </x:c>
      <x:c r="L28" s="55" t="n">
        <x:f>MAX(0,L25-'People'!L39)</x:f>
        <x:v>0</x:v>
      </x:c>
      <x:c r="M28" s="55" t="n">
        <x:f>MAX(0,M25-'People'!M39)</x:f>
        <x:v>0</x:v>
      </x:c>
      <x:c r="N28" s="55" t="n">
        <x:f>MAX(0,N25-'People'!N39)</x:f>
        <x:v>0</x:v>
      </x:c>
      <x:c r="O28" s="55" t="n">
        <x:f>MAX(0,O25-'People'!O39)</x:f>
        <x:v>0</x:v>
      </x:c>
      <x:c r="P28" s="55" t="n">
        <x:f>MAX(0,P25-'People'!P39)</x:f>
        <x:v>0</x:v>
      </x:c>
      <x:c r="Q28" s="55" t="n">
        <x:f>MAX(0,Q25-'People'!Q39)</x:f>
        <x:v>0</x:v>
      </x:c>
      <x:c r="R28" s="55" t="n">
        <x:f>MAX(0,R25-'People'!R39)</x:f>
        <x:v>0</x:v>
      </x:c>
      <x:c r="S28" s="55" t="n">
        <x:f>MAX(0,S25-'People'!S39)</x:f>
        <x:v>0</x:v>
      </x:c>
      <x:c r="T28" s="55" t="n">
        <x:f>MAX(0,T25-'People'!T39)</x:f>
        <x:v>0</x:v>
      </x:c>
    </x:row>
    <x:row r="29" ht="25" customHeight="1">
      <x:c r="A29" s="2"/>
      <x:c r="B29" s="2"/>
      <x:c r="C29" s="32" t="str">
        <x:v>Eligible backlog awaiting activation</x:v>
      </x:c>
      <x:c r="D29" s="26" t="n">
        <x:f>D30+D31</x:f>
        <x:v>0</x:v>
      </x:c>
      <x:c r="E29" s="26" t="n">
        <x:f>E30+E31</x:f>
        <x:v>0</x:v>
      </x:c>
      <x:c r="F29" s="26" t="n">
        <x:f>F30+F31</x:f>
        <x:v>16</x:v>
      </x:c>
      <x:c r="G29" s="26" t="n">
        <x:f>G30+G31</x:f>
        <x:v>10.0234375</x:v>
      </x:c>
      <x:c r="H29" s="26" t="n">
        <x:f>H30+H31</x:f>
        <x:v>5.421875</x:v>
      </x:c>
      <x:c r="I29" s="26" t="n">
        <x:f>I30+I31</x:f>
        <x:v>0</x:v>
      </x:c>
      <x:c r="J29" s="26" t="n">
        <x:f>J30+J31</x:f>
        <x:v>1.7763568394002505e-15</x:v>
      </x:c>
      <x:c r="K29" s="26" t="n">
        <x:f>K30+K31</x:f>
        <x:v>1.7763568394002505e-15</x:v>
      </x:c>
      <x:c r="L29" s="26" t="n">
        <x:f>L30+L31</x:f>
        <x:v>2.7476562500000075</x:v>
      </x:c>
      <x:c r="M29" s="26" t="n">
        <x:f>M30+M31</x:f>
        <x:v>1.7763568394002505e-15</x:v>
      </x:c>
      <x:c r="N29" s="26" t="n">
        <x:f>N30+N31</x:f>
        <x:v>1.7763568394002505e-15</x:v>
      </x:c>
      <x:c r="O29" s="26" t="n">
        <x:f>O30+O31</x:f>
        <x:v>0</x:v>
      </x:c>
      <x:c r="P29" s="26" t="n">
        <x:f>P30+P31</x:f>
        <x:v>0</x:v>
      </x:c>
      <x:c r="Q29" s="26" t="n">
        <x:f>Q30+Q31</x:f>
        <x:v>0</x:v>
      </x:c>
      <x:c r="R29" s="26" t="n">
        <x:f>R30+R31</x:f>
        <x:v>-2.842170943040401e-14</x:v>
      </x:c>
      <x:c r="S29" s="26" t="n">
        <x:f>S30+S31</x:f>
        <x:v>17.23460937500016</x:v>
      </x:c>
      <x:c r="T29" s="26" t="n">
        <x:f>T30+T31</x:f>
        <x:v>88.69406250000014</x:v>
      </x:c>
    </x:row>
    <x:row r="30" ht="25" customHeight="1">
      <x:c r="A30" s="2"/>
      <x:c r="B30" s="2"/>
      <x:c r="C30" s="32" t="str">
        <x:v>Direct eligible backlog</x:v>
      </x:c>
      <x:c r="D30" s="26" t="n">
        <x:f>D20-D26</x:f>
        <x:v>0</x:v>
      </x:c>
      <x:c r="E30" s="26" t="n">
        <x:f>E20-E26</x:f>
        <x:v>0</x:v>
      </x:c>
      <x:c r="F30" s="26" t="n">
        <x:f>F20-F26</x:f>
        <x:v>15.960099750623442</x:v>
      </x:c>
      <x:c r="G30" s="26" t="n">
        <x:f>G20-G26</x:f>
        <x:v>9.825395660337222</x:v>
      </x:c>
      <x:c r="H30" s="26" t="n">
        <x:f>H20-H26</x:f>
        <x:v>5.051591981665274</x:v>
      </x:c>
      <x:c r="I30" s="26" t="n">
        <x:f>I20-I26</x:f>
        <x:v>-1.7763568394002505e-15</x:v>
      </x:c>
      <x:c r="J30" s="26" t="n">
        <x:f>J20-J26</x:f>
        <x:v>0</x:v>
      </x:c>
      <x:c r="K30" s="26" t="n">
        <x:f>K20-K26</x:f>
        <x:v>0</x:v>
      </x:c>
      <x:c r="L30" s="26" t="n">
        <x:f>L20-L26</x:f>
        <x:v>2.2821462726689745</x:v>
      </x:c>
      <x:c r="M30" s="26" t="n">
        <x:f>M20-M26</x:f>
        <x:v>0</x:v>
      </x:c>
      <x:c r="N30" s="26" t="n">
        <x:f>N20-N26</x:f>
        <x:v>0</x:v>
      </x:c>
      <x:c r="O30" s="26" t="n">
        <x:f>O20-O26</x:f>
        <x:v>0</x:v>
      </x:c>
      <x:c r="P30" s="26" t="n">
        <x:f>P20-P26</x:f>
        <x:v>0</x:v>
      </x:c>
      <x:c r="Q30" s="26" t="n">
        <x:f>Q20-Q26</x:f>
        <x:v>-2.842170943040401e-14</x:v>
      </x:c>
      <x:c r="R30" s="26" t="n">
        <x:f>R20-R26</x:f>
        <x:v>2.842170943040401e-14</x:v>
      </x:c>
      <x:c r="S30" s="26" t="n">
        <x:f>S20-S26</x:f>
        <x:v>13.685677777498086</x:v>
      </x:c>
      <x:c r="T30" s="26" t="n">
        <x:f>T20-T26</x:f>
        <x:v>66.67807176275326</x:v>
      </x:c>
    </x:row>
    <x:row r="31" ht="25" customHeight="1">
      <x:c r="A31" s="2"/>
      <x:c r="B31" s="2"/>
      <x:c r="C31" s="32" t="str">
        <x:v>Partner eligible backlog</x:v>
      </x:c>
      <x:c r="D31" s="26" t="n">
        <x:f>D21-D27</x:f>
        <x:v>0</x:v>
      </x:c>
      <x:c r="E31" s="26" t="n">
        <x:f>E21-E27</x:f>
        <x:v>0</x:v>
      </x:c>
      <x:c r="F31" s="26" t="n">
        <x:f>F21-F27</x:f>
        <x:v>0.039900249376557895</x:v>
      </x:c>
      <x:c r="G31" s="26" t="n">
        <x:f>G21-G27</x:f>
        <x:v>0.19804183966277833</x:v>
      </x:c>
      <x:c r="H31" s="26" t="n">
        <x:f>H21-H27</x:f>
        <x:v>0.3702830183347263</x:v>
      </x:c>
      <x:c r="I31" s="26" t="n">
        <x:f>I21-I27</x:f>
        <x:v>1.7763568394002505e-15</x:v>
      </x:c>
      <x:c r="J31" s="26" t="n">
        <x:f>J21-J27</x:f>
        <x:v>1.7763568394002505e-15</x:v>
      </x:c>
      <x:c r="K31" s="26" t="n">
        <x:f>K21-K27</x:f>
        <x:v>1.7763568394002505e-15</x:v>
      </x:c>
      <x:c r="L31" s="26" t="n">
        <x:f>L21-L27</x:f>
        <x:v>0.46550997733103294</x:v>
      </x:c>
      <x:c r="M31" s="26" t="n">
        <x:f>M21-M27</x:f>
        <x:v>1.7763568394002505e-15</x:v>
      </x:c>
      <x:c r="N31" s="26" t="n">
        <x:f>N21-N27</x:f>
        <x:v>1.7763568394002505e-15</x:v>
      </x:c>
      <x:c r="O31" s="26" t="n">
        <x:f>O21-O27</x:f>
        <x:v>0</x:v>
      </x:c>
      <x:c r="P31" s="26" t="n">
        <x:f>P21-P27</x:f>
        <x:v>0</x:v>
      </x:c>
      <x:c r="Q31" s="26" t="n">
        <x:f>Q21-Q27</x:f>
        <x:v>2.842170943040401e-14</x:v>
      </x:c>
      <x:c r="R31" s="26" t="n">
        <x:f>R21-R27</x:f>
        <x:v>-5.684341886080802e-14</x:v>
      </x:c>
      <x:c r="S31" s="26" t="n">
        <x:f>S21-S27</x:f>
        <x:v>3.548931597502076</x:v>
      </x:c>
      <x:c r="T31" s="26" t="n">
        <x:f>T21-T27</x:f>
        <x:v>22.01599073724688</x:v>
      </x:c>
    </x:row>
    <x:row r="32" ht="25" customHeight="1">
      <x:c r="A32" s="2"/>
      <x:c r="B32" s="2"/>
      <x:c r="C32" s="32" t="str">
        <x:v>Signed contracts still in activation delay</x:v>
      </x:c>
      <x:c r="D32" s="26" t="n">
        <x:f>D33-D29</x:f>
        <x:v>5</x:v>
      </x:c>
      <x:c r="E32" s="26" t="n">
        <x:f>E33-E29</x:f>
        <x:v>25.0625</x:v>
      </x:c>
      <x:c r="F32" s="26" t="n">
        <x:f>F33-F29</x:f>
        <x:v>1.8359375</x:v>
      </x:c>
      <x:c r="G32" s="26" t="n">
        <x:f>G33-G29</x:f>
        <x:v>4.7734375</x:v>
      </x:c>
      <x:c r="H32" s="26" t="n">
        <x:f>H33-H29</x:f>
        <x:v>7.7109375</x:v>
      </x:c>
      <x:c r="I32" s="26" t="n">
        <x:f>I33-I29</x:f>
        <x:v>19.49453125</x:v>
      </x:c>
      <x:c r="J32" s="26" t="n">
        <x:f>J33-J29</x:f>
        <x:v>23.957031249999993</x:v>
      </x:c>
      <x:c r="K32" s="26" t="n">
        <x:f>K33-K29</x:f>
        <x:v>39.28828125000001</x:v>
      </x:c>
      <x:c r="L32" s="26" t="n">
        <x:f>L33-L29</x:f>
        <x:v>54.619531249999994</x:v>
      </x:c>
      <x:c r="M32" s="26" t="n">
        <x:f>M33-M29</x:f>
        <x:v>95.28750000000002</x:v>
      </x:c>
      <x:c r="N32" s="26" t="n">
        <x:f>N33-N29</x:f>
        <x:v>115.8125</x:v>
      </x:c>
      <x:c r="O32" s="26" t="n">
        <x:f>O33-O29</x:f>
        <x:v>159.41250000000002</x:v>
      </x:c>
      <x:c r="P32" s="26" t="n">
        <x:f>P33-P29</x:f>
        <x:v>208.58749999999998</x:v>
      </x:c>
      <x:c r="Q32" s="26" t="n">
        <x:f>Q33-Q29</x:f>
        <x:v>296.7484375</x:v>
      </x:c>
      <x:c r="R32" s="26" t="n">
        <x:f>R33-R29</x:f>
        <x:v>350.94218750000005</x:v>
      </x:c>
      <x:c r="S32" s="26" t="n">
        <x:f>S33-S29</x:f>
        <x:v>351.14062500000006</x:v>
      </x:c>
      <x:c r="T32" s="26" t="n">
        <x:f>T33-T29</x:f>
        <x:v>454.51562500000006</x:v>
      </x:c>
    </x:row>
    <x:row r="33" ht="25" customHeight="1">
      <x:c r="A33" s="2"/>
      <x:c r="B33" s="2"/>
      <x:c r="C33" s="60" t="str">
        <x:v>Total signed, unactivated backlog</x:v>
      </x:c>
      <x:c r="D33" s="48" t="n">
        <x:f>SUM($D$18:D18)-SUM($D$25:D25)</x:f>
        <x:v>5</x:v>
      </x:c>
      <x:c r="E33" s="48" t="n">
        <x:f>SUM($D$18:E18)-SUM($D$25:E25)</x:f>
        <x:v>25.0625</x:v>
      </x:c>
      <x:c r="F33" s="48" t="n">
        <x:f>SUM($D$18:F18)-SUM($D$25:F25)</x:f>
        <x:v>17.8359375</x:v>
      </x:c>
      <x:c r="G33" s="48" t="n">
        <x:f>SUM($D$18:G18)-SUM($D$25:G25)</x:f>
        <x:v>14.796875</x:v>
      </x:c>
      <x:c r="H33" s="48" t="n">
        <x:f>SUM($D$18:H18)-SUM($D$25:H25)</x:f>
        <x:v>13.1328125</x:v>
      </x:c>
      <x:c r="I33" s="48" t="n">
        <x:f>SUM($D$18:I18)-SUM($D$25:I25)</x:f>
        <x:v>19.49453125</x:v>
      </x:c>
      <x:c r="J33" s="48" t="n">
        <x:f>SUM($D$18:J18)-SUM($D$25:J25)</x:f>
        <x:v>23.957031249999993</x:v>
      </x:c>
      <x:c r="K33" s="48" t="n">
        <x:f>SUM($D$18:K18)-SUM($D$25:K25)</x:f>
        <x:v>39.28828125000001</x:v>
      </x:c>
      <x:c r="L33" s="48" t="n">
        <x:f>SUM($D$18:L18)-SUM($D$25:L25)</x:f>
        <x:v>57.3671875</x:v>
      </x:c>
      <x:c r="M33" s="48" t="n">
        <x:f>SUM($D$18:M18)-SUM($D$25:M25)</x:f>
        <x:v>95.28750000000002</x:v>
      </x:c>
      <x:c r="N33" s="48" t="n">
        <x:f>SUM($D$18:N18)-SUM($D$25:N25)</x:f>
        <x:v>115.8125</x:v>
      </x:c>
      <x:c r="O33" s="48" t="n">
        <x:f>SUM($D$18:O18)-SUM($D$25:O25)</x:f>
        <x:v>159.41250000000002</x:v>
      </x:c>
      <x:c r="P33" s="48" t="n">
        <x:f>SUM($D$18:P18)-SUM($D$25:P25)</x:f>
        <x:v>208.58749999999998</x:v>
      </x:c>
      <x:c r="Q33" s="48" t="n">
        <x:f>SUM($D$18:Q18)-SUM($D$25:Q25)</x:f>
        <x:v>296.7484375</x:v>
      </x:c>
      <x:c r="R33" s="48" t="n">
        <x:f>SUM($D$18:R18)-SUM($D$25:R25)</x:f>
        <x:v>350.94218750000005</x:v>
      </x:c>
      <x:c r="S33" s="48" t="n">
        <x:f>SUM($D$18:S18)-SUM($D$25:S25)</x:f>
        <x:v>368.3752343750002</x:v>
      </x:c>
      <x:c r="T33" s="48" t="n">
        <x:f>SUM($D$18:T18)-SUM($D$25:T25)</x:f>
        <x:v>543.2096875000002</x:v>
      </x:c>
    </x:row>
    <x:row r="34" ht="25" customHeight="1">
      <x:c r="A34" s="2"/>
      <x:c r="B34" s="2"/>
      <x:c r="C34" s="32"/>
      <x:c r="D34" s="26"/>
      <x:c r="E34" s="26"/>
      <x:c r="F34" s="26"/>
      <x:c r="G34" s="26"/>
      <x:c r="H34" s="26"/>
      <x:c r="I34" s="26"/>
      <x:c r="J34" s="26"/>
      <x:c r="K34" s="26"/>
      <x:c r="L34" s="26"/>
      <x:c r="M34" s="26"/>
      <x:c r="N34" s="26"/>
      <x:c r="O34" s="26"/>
      <x:c r="P34" s="26"/>
      <x:c r="Q34" s="26"/>
      <x:c r="R34" s="26"/>
      <x:c r="S34" s="26"/>
      <x:c r="T34" s="26"/>
    </x:row>
    <x:row r="35" ht="25" customHeight="1">
      <x:c r="A35" s="2"/>
      <x:c r="B35" s="2"/>
      <x:c r="C35" s="60" t="str">
        <x:v>Closing active customers</x:v>
      </x:c>
      <x:c r="D35" s="56" t="n">
        <x:f>'Revenue'!D7</x:f>
        <x:v>0</x:v>
      </x:c>
      <x:c r="E35" s="56" t="n">
        <x:f>'Revenue'!E7</x:f>
        <x:v>4</x:v>
      </x:c>
      <x:c r="F35" s="56" t="n">
        <x:f>'Revenue'!F7</x:f>
        <x:v>11.25</x:v>
      </x:c>
      <x:c r="G35" s="56" t="n">
        <x:f>'Revenue'!G7</x:f>
        <x:v>17.5</x:v>
      </x:c>
      <x:c r="H35" s="56" t="n">
        <x:f>'Revenue'!H7</x:f>
        <x:v>25</x:v>
      </x:c>
      <x:c r="I35" s="56" t="n">
        <x:f>'Revenue'!I7</x:f>
        <x:v>35.10625</x:v>
      </x:c>
      <x:c r="J35" s="56" t="n">
        <x:f>'Revenue'!J7</x:f>
        <x:v>49.97687500000001</x:v>
      </x:c>
      <x:c r="K35" s="56" t="n">
        <x:f>'Revenue'!K7</x:f>
        <x:v>68.51750000000001</x:v>
      </x:c>
      <x:c r="L35" s="56" t="n">
        <x:f>'Revenue'!L7</x:f>
        <x:v>97.00000000000001</x:v>
      </x:c>
      <x:c r="M35" s="56" t="n">
        <x:f>'Revenue'!M7</x:f>
        <x:v>141.76525000000004</x:v>
      </x:c>
      <x:c r="N35" s="56" t="n">
        <x:f>'Revenue'!N7</x:f>
        <x:v>216.22560000000004</x:v>
      </x:c>
      <x:c r="O35" s="56" t="n">
        <x:f>'Revenue'!O7</x:f>
        <x:v>306.8923500000001</x:v>
      </x:c>
      <x:c r="P35" s="56" t="n">
        <x:f>'Revenue'!P7</x:f>
        <x:v>431.5437500000001</x:v>
      </x:c>
      <x:c r="Q35" s="56" t="n">
        <x:f>'Revenue'!Q7</x:f>
        <x:v>593.7040300000001</x:v>
      </x:c>
      <x:c r="R35" s="56" t="n">
        <x:f>'Revenue'!R7</x:f>
        <x:v>823.3763020000001</x:v>
      </x:c>
      <x:c r="S35" s="56" t="n">
        <x:f>'Revenue'!S7</x:f>
        <x:v>1081.1057745</x:v>
      </x:c>
      <x:c r="T35" s="56" t="n">
        <x:f>'Revenue'!T7</x:f>
        <x:v>1292</x:v>
      </x:c>
    </x:row>
    <x:row r="36" ht="25" customHeight="1">
      <x:c r="A36" s="2"/>
      <x:c r="B36" s="2"/>
      <x:c r="C36" s="32" t="str">
        <x:v>Customer ambition, year end</x:v>
      </x:c>
      <x:c r="D36" s="55" t="n">
        <x:f>'Inputs'!D9</x:f>
        <x:v>0</x:v>
      </x:c>
      <x:c r="E36" s="55" t="n">
        <x:f>'Inputs'!E9</x:f>
        <x:v>25</x:v>
      </x:c>
      <x:c r="F36" s="55" t="n">
        <x:f>'Inputs'!E9</x:f>
        <x:v>25</x:v>
      </x:c>
      <x:c r="G36" s="55" t="n">
        <x:f>'Inputs'!E9</x:f>
        <x:v>25</x:v>
      </x:c>
      <x:c r="H36" s="55" t="n">
        <x:f>'Inputs'!E9</x:f>
        <x:v>25</x:v>
      </x:c>
      <x:c r="I36" s="55" t="n">
        <x:f>'Inputs'!F9</x:f>
        <x:v>97</x:v>
      </x:c>
      <x:c r="J36" s="55" t="n">
        <x:f>'Inputs'!F9</x:f>
        <x:v>97</x:v>
      </x:c>
      <x:c r="K36" s="55" t="n">
        <x:f>'Inputs'!F9</x:f>
        <x:v>97</x:v>
      </x:c>
      <x:c r="L36" s="55" t="n">
        <x:f>'Inputs'!F9</x:f>
        <x:v>97</x:v>
      </x:c>
      <x:c r="M36" s="55" t="n">
        <x:f>'Inputs'!G9</x:f>
        <x:v>432</x:v>
      </x:c>
      <x:c r="N36" s="55" t="n">
        <x:f>'Inputs'!G9</x:f>
        <x:v>432</x:v>
      </x:c>
      <x:c r="O36" s="55" t="n">
        <x:f>'Inputs'!G9</x:f>
        <x:v>432</x:v>
      </x:c>
      <x:c r="P36" s="55" t="n">
        <x:f>'Inputs'!G9</x:f>
        <x:v>432</x:v>
      </x:c>
      <x:c r="Q36" s="55" t="n">
        <x:f>'Inputs'!H9</x:f>
        <x:v>1292</x:v>
      </x:c>
      <x:c r="R36" s="55" t="n">
        <x:f>'Inputs'!H9</x:f>
        <x:v>1292</x:v>
      </x:c>
      <x:c r="S36" s="55" t="n">
        <x:f>'Inputs'!H9</x:f>
        <x:v>1292</x:v>
      </x:c>
      <x:c r="T36" s="55" t="n">
        <x:f>'Inputs'!H9</x:f>
        <x:v>1292</x:v>
      </x:c>
    </x:row>
    <x:row r="37" ht="25" customHeight="1">
      <x:c r="A37" s="2"/>
      <x:c r="B37" s="2"/>
      <x:c r="C37" s="32" t="str">
        <x:v>Gap to year-end ambition</x:v>
      </x:c>
      <x:c r="D37" s="26" t="n">
        <x:f>D35-D36</x:f>
        <x:v>0</x:v>
      </x:c>
      <x:c r="E37" s="26" t="n">
        <x:f>0</x:f>
        <x:v>0</x:v>
      </x:c>
      <x:c r="F37" s="26" t="n">
        <x:f>0</x:f>
        <x:v>0</x:v>
      </x:c>
      <x:c r="G37" s="26" t="n">
        <x:f>0</x:f>
        <x:v>0</x:v>
      </x:c>
      <x:c r="H37" s="26" t="n">
        <x:f>H35-H36</x:f>
        <x:v>0</x:v>
      </x:c>
      <x:c r="I37" s="26" t="n">
        <x:f>0</x:f>
        <x:v>0</x:v>
      </x:c>
      <x:c r="J37" s="26" t="n">
        <x:f>0</x:f>
        <x:v>0</x:v>
      </x:c>
      <x:c r="K37" s="26" t="n">
        <x:f>0</x:f>
        <x:v>0</x:v>
      </x:c>
      <x:c r="L37" s="26" t="n">
        <x:f>L35-L36</x:f>
        <x:v>1.4210854715202004e-14</x:v>
      </x:c>
      <x:c r="M37" s="26" t="n">
        <x:f>0</x:f>
        <x:v>0</x:v>
      </x:c>
      <x:c r="N37" s="26" t="n">
        <x:f>0</x:f>
        <x:v>0</x:v>
      </x:c>
      <x:c r="O37" s="26" t="n">
        <x:f>0</x:f>
        <x:v>0</x:v>
      </x:c>
      <x:c r="P37" s="26" t="n">
        <x:f>P35-P36</x:f>
        <x:v>-0.4562499999998977</x:v>
      </x:c>
      <x:c r="Q37" s="26" t="n">
        <x:f>0</x:f>
        <x:v>0</x:v>
      </x:c>
      <x:c r="R37" s="26" t="n">
        <x:f>0</x:f>
        <x:v>0</x:v>
      </x:c>
      <x:c r="S37" s="26" t="n">
        <x:f>0</x:f>
        <x:v>0</x:v>
      </x:c>
      <x:c r="T37" s="26" t="n">
        <x:f>T35-T36</x:f>
        <x:v>0</x:v>
      </x:c>
    </x:row>
    <x:row r="38" ht="27" customHeight="1">
      <x:c r="A38" s="2"/>
      <x:c r="B38" s="2"/>
      <x:c r="C38" s="61" t="str">
        <x:v>Acquisition and implementation costs</x:v>
      </x:c>
      <x:c r="D38" s="15"/>
      <x:c r="E38" s="15"/>
      <x:c r="F38" s="15"/>
      <x:c r="G38" s="15"/>
      <x:c r="H38" s="15"/>
      <x:c r="I38" s="15"/>
      <x:c r="J38" s="15"/>
      <x:c r="K38" s="15"/>
      <x:c r="L38" s="15"/>
      <x:c r="M38" s="15"/>
      <x:c r="N38" s="15"/>
      <x:c r="O38" s="15"/>
      <x:c r="P38" s="15"/>
      <x:c r="Q38" s="15"/>
      <x:c r="R38" s="15"/>
      <x:c r="S38" s="15"/>
      <x:c r="T38" s="15"/>
    </x:row>
    <x:row r="39" ht="25" customHeight="1">
      <x:c r="A39" s="2"/>
      <x:c r="B39" s="2"/>
      <x:c r="C39" s="32" t="str">
        <x:v>External opportunity-generation cost</x:v>
      </x:c>
      <x:c r="D39" s="52" t="n">
        <x:f>D7*'Inputs'!D139</x:f>
        <x:v>15000</x:v>
      </x:c>
      <x:c r="E39" s="52" t="n">
        <x:f>E7*'Inputs'!E139</x:f>
        <x:v>54000</x:v>
      </x:c>
      <x:c r="F39" s="52" t="n">
        <x:f>F7*'Inputs'!E139</x:f>
        <x:v>72000</x:v>
      </x:c>
      <x:c r="G39" s="52" t="n">
        <x:f>G7*'Inputs'!E139</x:f>
        <x:v>108000</x:v>
      </x:c>
      <x:c r="H39" s="52" t="n">
        <x:f>H7*'Inputs'!E139</x:f>
        <x:v>126000</x:v>
      </x:c>
      <x:c r="I39" s="52" t="n">
        <x:f>I7*'Inputs'!F139</x:f>
        <x:v>225000</x:v>
      </x:c>
      <x:c r="J39" s="52" t="n">
        <x:f>J7*'Inputs'!F139</x:f>
        <x:v>300000</x:v>
      </x:c>
      <x:c r="K39" s="52" t="n">
        <x:f>K7*'Inputs'!F139</x:f>
        <x:v>450000</x:v>
      </x:c>
      <x:c r="L39" s="52" t="n">
        <x:f>L7*'Inputs'!F139</x:f>
        <x:v>525000</x:v>
      </x:c>
      <x:c r="M39" s="52" t="n">
        <x:f>M7*'Inputs'!G139</x:f>
        <x:v>720000</x:v>
      </x:c>
      <x:c r="N39" s="52" t="n">
        <x:f>N7*'Inputs'!G139</x:f>
        <x:v>960000</x:v>
      </x:c>
      <x:c r="O39" s="52" t="n">
        <x:f>O7*'Inputs'!G139</x:f>
        <x:v>1440000</x:v>
      </x:c>
      <x:c r="P39" s="52" t="n">
        <x:f>P7*'Inputs'!G139</x:f>
        <x:v>1680000</x:v>
      </x:c>
      <x:c r="Q39" s="52" t="n">
        <x:f>Q7*'Inputs'!H139</x:f>
        <x:v>1462500</x:v>
      </x:c>
      <x:c r="R39" s="52" t="n">
        <x:f>R7*'Inputs'!H139</x:f>
        <x:v>1950000</x:v>
      </x:c>
      <x:c r="S39" s="52" t="n">
        <x:f>S7*'Inputs'!H139</x:f>
        <x:v>2925000</x:v>
      </x:c>
      <x:c r="T39" s="52" t="n">
        <x:f>T7*'Inputs'!H139</x:f>
        <x:v>3412500</x:v>
      </x:c>
    </x:row>
    <x:row r="40" ht="25" customHeight="1">
      <x:c r="A40" s="2"/>
      <x:c r="B40" s="2"/>
      <x:c r="C40" s="32" t="str">
        <x:v>External onboarding cost</x:v>
      </x:c>
      <x:c r="D40" s="52" t="n">
        <x:f>D28*'People'!D38*'Inputs'!D151</x:f>
        <x:v>0</x:v>
      </x:c>
      <x:c r="E40" s="52" t="n">
        <x:f>E28*'People'!E38*'Inputs'!E151</x:f>
        <x:v>0</x:v>
      </x:c>
      <x:c r="F40" s="52" t="n">
        <x:f>F28*'People'!F38*'Inputs'!E151</x:f>
        <x:v>0</x:v>
      </x:c>
      <x:c r="G40" s="52" t="n">
        <x:f>G28*'People'!G38*'Inputs'!E151</x:f>
        <x:v>0</x:v>
      </x:c>
      <x:c r="H40" s="52" t="n">
        <x:f>H28*'People'!H38*'Inputs'!E151</x:f>
        <x:v>0</x:v>
      </x:c>
      <x:c r="I40" s="52" t="n">
        <x:f>I28*'People'!I38*'Inputs'!F151</x:f>
        <x:v>0</x:v>
      </x:c>
      <x:c r="J40" s="52" t="n">
        <x:f>J28*'People'!J38*'Inputs'!F151</x:f>
        <x:v>0</x:v>
      </x:c>
      <x:c r="K40" s="52" t="n">
        <x:f>K28*'People'!K38*'Inputs'!F151</x:f>
        <x:v>0</x:v>
      </x:c>
      <x:c r="L40" s="52" t="n">
        <x:f>L28*'People'!L38*'Inputs'!F151</x:f>
        <x:v>0</x:v>
      </x:c>
      <x:c r="M40" s="52" t="n">
        <x:f>M28*'People'!M38*'Inputs'!G151</x:f>
        <x:v>0</x:v>
      </x:c>
      <x:c r="N40" s="52" t="n">
        <x:f>N28*'People'!N38*'Inputs'!G151</x:f>
        <x:v>0</x:v>
      </x:c>
      <x:c r="O40" s="52" t="n">
        <x:f>O28*'People'!O38*'Inputs'!G151</x:f>
        <x:v>0</x:v>
      </x:c>
      <x:c r="P40" s="52" t="n">
        <x:f>P28*'People'!P38*'Inputs'!G151</x:f>
        <x:v>0</x:v>
      </x:c>
      <x:c r="Q40" s="52" t="n">
        <x:f>Q28*'People'!Q38*'Inputs'!H151</x:f>
        <x:v>0</x:v>
      </x:c>
      <x:c r="R40" s="52" t="n">
        <x:f>R28*'People'!R38*'Inputs'!H151</x:f>
        <x:v>0</x:v>
      </x:c>
      <x:c r="S40" s="52" t="n">
        <x:f>S28*'People'!S38*'Inputs'!H151</x:f>
        <x:v>0</x:v>
      </x:c>
      <x:c r="T40" s="52" t="n">
        <x:f>T28*'People'!T38*'Inputs'!H151</x:f>
        <x:v>0</x:v>
      </x:c>
    </x:row>
    <x:row r="41" ht="27" customHeight="1">
      <x:c r="A41" s="2"/>
      <x:c r="B41" s="2"/>
      <x:c r="C41" s="61" t="str">
        <x:v>Resources required to reach the original ambition</x:v>
      </x:c>
      <x:c r="D41" s="15"/>
      <x:c r="E41" s="15"/>
      <x:c r="F41" s="15"/>
      <x:c r="G41" s="15"/>
      <x:c r="H41" s="15"/>
      <x:c r="I41" s="15"/>
      <x:c r="J41" s="15"/>
      <x:c r="K41" s="15"/>
      <x:c r="L41" s="15"/>
      <x:c r="M41" s="15"/>
      <x:c r="N41" s="15"/>
      <x:c r="O41" s="15"/>
      <x:c r="P41" s="15"/>
      <x:c r="Q41" s="15"/>
      <x:c r="R41" s="15"/>
      <x:c r="S41" s="15"/>
      <x:c r="T41" s="15"/>
    </x:row>
    <x:row r="42" ht="25" customHeight="1">
      <x:c r="A42" s="2"/>
      <x:c r="B42" s="2"/>
      <x:c r="C42" s="32" t="str">
        <x:v>Required annual additions for original target</x:v>
      </x:c>
      <x:c r="D42" s="52" t="n">
        <x:f>MAX(0,'Inputs'!D9-(0)*(1-'Inputs'!D27))</x:f>
        <x:v>0</x:v>
      </x:c>
      <x:c r="E42" s="52" t="n">
        <x:f>MAX(0,'Inputs'!E9-('Revenue'!D7)*(1-'Inputs'!E27))</x:f>
        <x:v>25</x:v>
      </x:c>
      <x:c r="F42" s="52" t="n">
        <x:f>MAX(0,'Inputs'!E9-('Revenue'!D7)*(1-'Inputs'!E27))</x:f>
        <x:v>25</x:v>
      </x:c>
      <x:c r="G42" s="52" t="n">
        <x:f>MAX(0,'Inputs'!E9-('Revenue'!D7)*(1-'Inputs'!E27))</x:f>
        <x:v>25</x:v>
      </x:c>
      <x:c r="H42" s="52" t="n">
        <x:f>MAX(0,'Inputs'!E9-('Revenue'!D7)*(1-'Inputs'!E27))</x:f>
        <x:v>25</x:v>
      </x:c>
      <x:c r="I42" s="52" t="n">
        <x:f>MAX(0,'Inputs'!F9-('Revenue'!H7)*(1-'Inputs'!F27))</x:f>
        <x:v>74.5</x:v>
      </x:c>
      <x:c r="J42" s="52" t="n">
        <x:f>MAX(0,'Inputs'!F9-('Revenue'!H7)*(1-'Inputs'!F27))</x:f>
        <x:v>74.5</x:v>
      </x:c>
      <x:c r="K42" s="52" t="n">
        <x:f>MAX(0,'Inputs'!F9-('Revenue'!H7)*(1-'Inputs'!F27))</x:f>
        <x:v>74.5</x:v>
      </x:c>
      <x:c r="L42" s="52" t="n">
        <x:f>MAX(0,'Inputs'!F9-('Revenue'!H7)*(1-'Inputs'!F27))</x:f>
        <x:v>74.5</x:v>
      </x:c>
      <x:c r="M42" s="52" t="n">
        <x:f>MAX(0,'Inputs'!G9-('Revenue'!L7)*(1-'Inputs'!G27))</x:f>
        <x:v>342.76</x:v>
      </x:c>
      <x:c r="N42" s="52" t="n">
        <x:f>MAX(0,'Inputs'!G9-('Revenue'!L7)*(1-'Inputs'!G27))</x:f>
        <x:v>342.76</x:v>
      </x:c>
      <x:c r="O42" s="52" t="n">
        <x:f>MAX(0,'Inputs'!G9-('Revenue'!L7)*(1-'Inputs'!G27))</x:f>
        <x:v>342.76</x:v>
      </x:c>
      <x:c r="P42" s="52" t="n">
        <x:f>MAX(0,'Inputs'!G9-('Revenue'!L7)*(1-'Inputs'!G27))</x:f>
        <x:v>342.76</x:v>
      </x:c>
      <x:c r="Q42" s="52" t="n">
        <x:f>MAX(0,'Inputs'!H9-('Revenue'!P7)*(1-'Inputs'!H27))</x:f>
        <x:v>894.97975</x:v>
      </x:c>
      <x:c r="R42" s="52" t="n">
        <x:f>MAX(0,'Inputs'!H9-('Revenue'!P7)*(1-'Inputs'!H27))</x:f>
        <x:v>894.97975</x:v>
      </x:c>
      <x:c r="S42" s="52" t="n">
        <x:f>MAX(0,'Inputs'!H9-('Revenue'!P7)*(1-'Inputs'!H27))</x:f>
        <x:v>894.97975</x:v>
      </x:c>
      <x:c r="T42" s="52" t="n">
        <x:f>MAX(0,'Inputs'!H9-('Revenue'!P7)*(1-'Inputs'!H27))</x:f>
        <x:v>894.97975</x:v>
      </x:c>
    </x:row>
    <x:row r="43" ht="25" customHeight="1">
      <x:c r="A43" s="2"/>
      <x:c r="B43" s="2"/>
      <x:c r="C43" s="32" t="str">
        <x:v>Required direct additions after partner plan</x:v>
      </x:c>
      <x:c r="D43" s="52" t="n">
        <x:f>MAX(0,D42/'Inputs'!D22-SUM(D27:D27)-'Inputs'!D67)</x:f>
        <x:v>0</x:v>
      </x:c>
      <x:c r="E43" s="52" t="n">
        <x:f>MAX(0,E42/'Inputs'!E22-SUM(E27:H27)-'Inputs'!E67)</x:f>
        <x:v>5.4327830183347245</x:v>
      </x:c>
      <x:c r="F43" s="52" t="n">
        <x:f>MAX(0,F42/'Inputs'!E22-SUM(E27:H27)-'Inputs'!E67)</x:f>
        <x:v>5.4327830183347245</x:v>
      </x:c>
      <x:c r="G43" s="52" t="n">
        <x:f>MAX(0,G42/'Inputs'!E22-SUM(E27:H27)-'Inputs'!E67)</x:f>
        <x:v>5.4327830183347245</x:v>
      </x:c>
      <x:c r="H43" s="52" t="n">
        <x:f>MAX(0,H42/'Inputs'!E22-SUM(E27:H27)-'Inputs'!E67)</x:f>
        <x:v>5.4327830183347245</x:v>
      </x:c>
      <x:c r="I43" s="52" t="n">
        <x:f>MAX(0,I42/'Inputs'!F22-SUM(I27:L27)-'Inputs'!F67)</x:f>
        <x:v>72.9389769589963</x:v>
      </x:c>
      <x:c r="J43" s="52" t="n">
        <x:f>MAX(0,J42/'Inputs'!F22-SUM(I27:L27)-'Inputs'!F67)</x:f>
        <x:v>72.9389769589963</x:v>
      </x:c>
      <x:c r="K43" s="52" t="n">
        <x:f>MAX(0,K42/'Inputs'!F22-SUM(I27:L27)-'Inputs'!F67)</x:f>
        <x:v>72.9389769589963</x:v>
      </x:c>
      <x:c r="L43" s="52" t="n">
        <x:f>MAX(0,L42/'Inputs'!F22-SUM(I27:L27)-'Inputs'!F67)</x:f>
        <x:v>72.9389769589963</x:v>
      </x:c>
      <x:c r="M43" s="52" t="n">
        <x:f>MAX(0,M42/'Inputs'!G22-SUM(M27:P27)-'Inputs'!G67)</x:f>
        <x:v>347.390740022669</x:v>
      </x:c>
      <x:c r="N43" s="52" t="n">
        <x:f>MAX(0,N42/'Inputs'!G22-SUM(M27:P27)-'Inputs'!G67)</x:f>
        <x:v>347.390740022669</x:v>
      </x:c>
      <x:c r="O43" s="52" t="n">
        <x:f>MAX(0,O42/'Inputs'!G22-SUM(M27:P27)-'Inputs'!G67)</x:f>
        <x:v>347.390740022669</x:v>
      </x:c>
      <x:c r="P43" s="52" t="n">
        <x:f>MAX(0,P42/'Inputs'!G22-SUM(M27:P27)-'Inputs'!G67)</x:f>
        <x:v>347.390740022669</x:v>
      </x:c>
      <x:c r="Q43" s="52" t="n">
        <x:f>MAX(0,Q42/'Inputs'!H22-SUM(Q27:T27)-'Inputs'!H67)</x:f>
        <x:v>878.1313032372467</x:v>
      </x:c>
      <x:c r="R43" s="52" t="n">
        <x:f>MAX(0,R42/'Inputs'!H22-SUM(Q27:T27)-'Inputs'!H67)</x:f>
        <x:v>878.1313032372467</x:v>
      </x:c>
      <x:c r="S43" s="52" t="n">
        <x:f>MAX(0,S42/'Inputs'!H22-SUM(Q27:T27)-'Inputs'!H67)</x:f>
        <x:v>878.1313032372467</x:v>
      </x:c>
      <x:c r="T43" s="52" t="n">
        <x:f>MAX(0,T42/'Inputs'!H22-SUM(Q27:T27)-'Inputs'!H67)</x:f>
        <x:v>878.1313032372467</x:v>
      </x:c>
    </x:row>
    <x:row r="44" ht="25" customHeight="1">
      <x:c r="A44" s="2"/>
      <x:c r="B44" s="2"/>
      <x:c r="C44" s="32" t="str">
        <x:v>Direct qualified opportunities required</x:v>
      </x:c>
      <x:c r="D44" s="52" t="n">
        <x:f>IF('Inputs'!D37=0,0,D43/'Inputs'!D37)</x:f>
        <x:v>0</x:v>
      </x:c>
      <x:c r="E44" s="52" t="n">
        <x:f>IF('Inputs'!E37=0,0,E43/'Inputs'!E37)</x:f>
        <x:v>27.163915091673623</x:v>
      </x:c>
      <x:c r="F44" s="52" t="n">
        <x:f>IF('Inputs'!E37=0,0,F43/'Inputs'!E37)</x:f>
        <x:v>27.163915091673623</x:v>
      </x:c>
      <x:c r="G44" s="52" t="n">
        <x:f>IF('Inputs'!E37=0,0,G43/'Inputs'!E37)</x:f>
        <x:v>27.163915091673623</x:v>
      </x:c>
      <x:c r="H44" s="52" t="n">
        <x:f>IF('Inputs'!E37=0,0,H43/'Inputs'!E37)</x:f>
        <x:v>27.163915091673623</x:v>
      </x:c>
      <x:c r="I44" s="52" t="n">
        <x:f>IF('Inputs'!F37=0,0,I43/'Inputs'!F37)</x:f>
        <x:v>303.91240399581795</x:v>
      </x:c>
      <x:c r="J44" s="52" t="n">
        <x:f>IF('Inputs'!F37=0,0,J43/'Inputs'!F37)</x:f>
        <x:v>303.91240399581795</x:v>
      </x:c>
      <x:c r="K44" s="52" t="n">
        <x:f>IF('Inputs'!F37=0,0,K43/'Inputs'!F37)</x:f>
        <x:v>303.91240399581795</x:v>
      </x:c>
      <x:c r="L44" s="52" t="n">
        <x:f>IF('Inputs'!F37=0,0,L43/'Inputs'!F37)</x:f>
        <x:v>303.91240399581795</x:v>
      </x:c>
      <x:c r="M44" s="52" t="n">
        <x:f>IF('Inputs'!G37=0,0,M43/'Inputs'!G37)</x:f>
        <x:v>1286.6323704543295</x:v>
      </x:c>
      <x:c r="N44" s="52" t="n">
        <x:f>IF('Inputs'!G37=0,0,N43/'Inputs'!G37)</x:f>
        <x:v>1286.6323704543295</x:v>
      </x:c>
      <x:c r="O44" s="52" t="n">
        <x:f>IF('Inputs'!G37=0,0,O43/'Inputs'!G37)</x:f>
        <x:v>1286.6323704543295</x:v>
      </x:c>
      <x:c r="P44" s="52" t="n">
        <x:f>IF('Inputs'!G37=0,0,P43/'Inputs'!G37)</x:f>
        <x:v>1286.6323704543295</x:v>
      </x:c>
      <x:c r="Q44" s="52" t="n">
        <x:f>IF('Inputs'!H37=0,0,Q43/'Inputs'!H37)</x:f>
        <x:v>3252.3381601379506</x:v>
      </x:c>
      <x:c r="R44" s="52" t="n">
        <x:f>IF('Inputs'!H37=0,0,R43/'Inputs'!H37)</x:f>
        <x:v>3252.3381601379506</x:v>
      </x:c>
      <x:c r="S44" s="52" t="n">
        <x:f>IF('Inputs'!H37=0,0,S43/'Inputs'!H37)</x:f>
        <x:v>3252.3381601379506</x:v>
      </x:c>
      <x:c r="T44" s="52" t="n">
        <x:f>IF('Inputs'!H37=0,0,T43/'Inputs'!H37)</x:f>
        <x:v>3252.3381601379506</x:v>
      </x:c>
    </x:row>
    <x:row r="45" ht="25" customHeight="1">
      <x:c r="A45" s="2"/>
      <x:c r="B45" s="2"/>
      <x:c r="C45" s="32" t="str">
        <x:v>Productive AE years required for target</x:v>
      </x:c>
      <x:c r="D45" s="52" t="n">
        <x:f>IF('Inputs'!D47=0,0,D43/('Inputs'!D47*'Inputs'!D52))</x:f>
        <x:v>0</x:v>
      </x:c>
      <x:c r="E45" s="52" t="n">
        <x:f>IF('Inputs'!E47=0,0,E43/('Inputs'!E47*'Inputs'!E52))</x:f>
        <x:v>0.6965106433762467</x:v>
      </x:c>
      <x:c r="F45" s="52" t="n">
        <x:f>IF('Inputs'!E47=0,0,F43/('Inputs'!E47*'Inputs'!E52))</x:f>
        <x:v>0.6965106433762467</x:v>
      </x:c>
      <x:c r="G45" s="52" t="n">
        <x:f>IF('Inputs'!E47=0,0,G43/('Inputs'!E47*'Inputs'!E52))</x:f>
        <x:v>0.6965106433762467</x:v>
      </x:c>
      <x:c r="H45" s="52" t="n">
        <x:f>IF('Inputs'!E47=0,0,H43/('Inputs'!E47*'Inputs'!E52))</x:f>
        <x:v>0.6965106433762467</x:v>
      </x:c>
      <x:c r="I45" s="52" t="n">
        <x:f>IF('Inputs'!F47=0,0,I43/('Inputs'!F47*'Inputs'!F52))</x:f>
        <x:v>8.015272193296298</x:v>
      </x:c>
      <x:c r="J45" s="52" t="n">
        <x:f>IF('Inputs'!F47=0,0,J43/('Inputs'!F47*'Inputs'!F52))</x:f>
        <x:v>8.015272193296298</x:v>
      </x:c>
      <x:c r="K45" s="52" t="n">
        <x:f>IF('Inputs'!F47=0,0,K43/('Inputs'!F47*'Inputs'!F52))</x:f>
        <x:v>8.015272193296298</x:v>
      </x:c>
      <x:c r="L45" s="52" t="n">
        <x:f>IF('Inputs'!F47=0,0,L43/('Inputs'!F47*'Inputs'!F52))</x:f>
        <x:v>8.015272193296298</x:v>
      </x:c>
      <x:c r="M45" s="52" t="n">
        <x:f>IF('Inputs'!G47=0,0,M43/('Inputs'!G47*'Inputs'!G52))</x:f>
        <x:v>31.017030359166874</x:v>
      </x:c>
      <x:c r="N45" s="52" t="n">
        <x:f>IF('Inputs'!G47=0,0,N43/('Inputs'!G47*'Inputs'!G52))</x:f>
        <x:v>31.017030359166874</x:v>
      </x:c>
      <x:c r="O45" s="52" t="n">
        <x:f>IF('Inputs'!G47=0,0,O43/('Inputs'!G47*'Inputs'!G52))</x:f>
        <x:v>31.017030359166874</x:v>
      </x:c>
      <x:c r="P45" s="52" t="n">
        <x:f>IF('Inputs'!G47=0,0,P43/('Inputs'!G47*'Inputs'!G52))</x:f>
        <x:v>31.017030359166874</x:v>
      </x:c>
      <x:c r="Q45" s="52" t="n">
        <x:f>IF('Inputs'!H47=0,0,Q43/('Inputs'!H47*'Inputs'!H52))</x:f>
        <x:v>69.69296057438466</x:v>
      </x:c>
      <x:c r="R45" s="52" t="n">
        <x:f>IF('Inputs'!H47=0,0,R43/('Inputs'!H47*'Inputs'!H52))</x:f>
        <x:v>69.69296057438466</x:v>
      </x:c>
      <x:c r="S45" s="52" t="n">
        <x:f>IF('Inputs'!H47=0,0,S43/('Inputs'!H47*'Inputs'!H52))</x:f>
        <x:v>69.69296057438466</x:v>
      </x:c>
      <x:c r="T45" s="52" t="n">
        <x:f>IF('Inputs'!H47=0,0,T43/('Inputs'!H47*'Inputs'!H52))</x:f>
        <x:v>69.69296057438466</x:v>
      </x:c>
    </x:row>
    <x:row r="46" ht="25" customHeight="1">
      <x:c r="A46" s="2"/>
      <x:c r="B46" s="2"/>
      <x:c r="C46" s="32" t="str">
        <x:v>Planned productive AE years</x:v>
      </x:c>
      <x:c r="D46" s="52" t="n">
        <x:f>SUM('People'!D15:D15)/4</x:f>
        <x:v>0</x:v>
      </x:c>
      <x:c r="E46" s="52" t="n">
        <x:f>SUM('People'!E15:H15)/4</x:f>
        <x:v>1.5625</x:v>
      </x:c>
      <x:c r="F46" s="52" t="n">
        <x:f>SUM('People'!E15:H15)/4</x:f>
        <x:v>1.5625</x:v>
      </x:c>
      <x:c r="G46" s="52" t="n">
        <x:f>SUM('People'!E15:H15)/4</x:f>
        <x:v>1.5625</x:v>
      </x:c>
      <x:c r="H46" s="52" t="n">
        <x:f>SUM('People'!E15:H15)/4</x:f>
        <x:v>1.5625</x:v>
      </x:c>
      <x:c r="I46" s="52" t="n">
        <x:f>SUM('People'!I15:L15)/4</x:f>
        <x:v>12.03125</x:v>
      </x:c>
      <x:c r="J46" s="52" t="n">
        <x:f>SUM('People'!I15:L15)/4</x:f>
        <x:v>12.03125</x:v>
      </x:c>
      <x:c r="K46" s="52" t="n">
        <x:f>SUM('People'!I15:L15)/4</x:f>
        <x:v>12.03125</x:v>
      </x:c>
      <x:c r="L46" s="52" t="n">
        <x:f>SUM('People'!I15:L15)/4</x:f>
        <x:v>12.03125</x:v>
      </x:c>
      <x:c r="M46" s="52" t="n">
        <x:f>SUM('People'!M15:P15)/4</x:f>
        <x:v>42.90625</x:v>
      </x:c>
      <x:c r="N46" s="52" t="n">
        <x:f>SUM('People'!M15:P15)/4</x:f>
        <x:v>42.90625</x:v>
      </x:c>
      <x:c r="O46" s="52" t="n">
        <x:f>SUM('People'!M15:P15)/4</x:f>
        <x:v>42.90625</x:v>
      </x:c>
      <x:c r="P46" s="52" t="n">
        <x:f>SUM('People'!M15:P15)/4</x:f>
        <x:v>42.90625</x:v>
      </x:c>
      <x:c r="Q46" s="52" t="n">
        <x:f>SUM('People'!Q15:T15)/4</x:f>
        <x:v>97.375</x:v>
      </x:c>
      <x:c r="R46" s="52" t="n">
        <x:f>SUM('People'!Q15:T15)/4</x:f>
        <x:v>97.375</x:v>
      </x:c>
      <x:c r="S46" s="52" t="n">
        <x:f>SUM('People'!Q15:T15)/4</x:f>
        <x:v>97.375</x:v>
      </x:c>
      <x:c r="T46" s="52" t="n">
        <x:f>SUM('People'!Q15:T15)/4</x:f>
        <x:v>97.375</x:v>
      </x:c>
    </x:row>
    <x:row r="47" ht="25" customHeight="1">
      <x:c r="A47" s="2"/>
      <x:c r="B47" s="2"/>
      <x:c r="C47" s="32" t="str">
        <x:v>AE-year shortfall against original target</x:v>
      </x:c>
      <x:c r="D47" s="3" t="n">
        <x:f>MAX(0,D45-D46)</x:f>
        <x:v>0</x:v>
      </x:c>
      <x:c r="E47" s="3" t="n">
        <x:f>MAX(0,E45-E46)</x:f>
        <x:v>0</x:v>
      </x:c>
      <x:c r="F47" s="3" t="n">
        <x:f>MAX(0,F45-F46)</x:f>
        <x:v>0</x:v>
      </x:c>
      <x:c r="G47" s="3" t="n">
        <x:f>MAX(0,G45-G46)</x:f>
        <x:v>0</x:v>
      </x:c>
      <x:c r="H47" s="3" t="n">
        <x:f>MAX(0,H45-H46)</x:f>
        <x:v>0</x:v>
      </x:c>
      <x:c r="I47" s="3" t="n">
        <x:f>MAX(0,I45-I46)</x:f>
        <x:v>0</x:v>
      </x:c>
      <x:c r="J47" s="3" t="n">
        <x:f>MAX(0,J45-J46)</x:f>
        <x:v>0</x:v>
      </x:c>
      <x:c r="K47" s="3" t="n">
        <x:f>MAX(0,K45-K46)</x:f>
        <x:v>0</x:v>
      </x:c>
      <x:c r="L47" s="3" t="n">
        <x:f>MAX(0,L45-L46)</x:f>
        <x:v>0</x:v>
      </x:c>
      <x:c r="M47" s="3" t="n">
        <x:f>MAX(0,M45-M46)</x:f>
        <x:v>0</x:v>
      </x:c>
      <x:c r="N47" s="3" t="n">
        <x:f>MAX(0,N45-N46)</x:f>
        <x:v>0</x:v>
      </x:c>
      <x:c r="O47" s="3" t="n">
        <x:f>MAX(0,O45-O46)</x:f>
        <x:v>0</x:v>
      </x:c>
      <x:c r="P47" s="3" t="n">
        <x:f>MAX(0,P45-P46)</x:f>
        <x:v>0</x:v>
      </x:c>
      <x:c r="Q47" s="3" t="n">
        <x:f>MAX(0,Q45-Q46)</x:f>
        <x:v>0</x:v>
      </x:c>
      <x:c r="R47" s="3" t="n">
        <x:f>MAX(0,R45-R46)</x:f>
        <x:v>0</x:v>
      </x:c>
      <x:c r="S47" s="3" t="n">
        <x:f>MAX(0,S45-S46)</x:f>
        <x:v>0</x:v>
      </x:c>
      <x:c r="T47" s="3" t="n">
        <x:f>MAX(0,T45-T46)</x:f>
        <x:v>0</x:v>
      </x:c>
    </x:row>
    <x:row r="48" ht="25" customHeight="1">
      <x:c r="A48" s="2"/>
      <x:c r="B48" s="2"/>
      <x:c r="C48" s="32"/>
      <x:c r="D48" s="3"/>
      <x:c r="E48" s="3"/>
      <x:c r="F48" s="3"/>
      <x:c r="G48" s="3"/>
      <x:c r="H48" s="3"/>
      <x:c r="I48" s="3"/>
      <x:c r="J48" s="3"/>
      <x:c r="K48" s="3"/>
      <x:c r="L48" s="3"/>
      <x:c r="M48" s="3"/>
      <x:c r="N48" s="3"/>
      <x:c r="O48" s="3"/>
      <x:c r="P48" s="3"/>
      <x:c r="Q48" s="3"/>
      <x:c r="R48" s="3"/>
      <x:c r="S48" s="3"/>
      <x:c r="T48" s="3"/>
    </x:row>
    <x:row r="49" ht="25" customHeight="1">
      <x:c r="A49" s="2"/>
      <x:c r="B49" s="2"/>
      <x:c r="C49" s="32"/>
      <x:c r="D49" s="3"/>
      <x:c r="E49" s="3"/>
      <x:c r="F49" s="3"/>
      <x:c r="G49" s="3"/>
      <x:c r="H49" s="3"/>
      <x:c r="I49" s="3"/>
      <x:c r="J49" s="3"/>
      <x:c r="K49" s="3"/>
      <x:c r="L49" s="3"/>
      <x:c r="M49" s="3"/>
      <x:c r="N49" s="3"/>
      <x:c r="O49" s="3"/>
      <x:c r="P49" s="3"/>
      <x:c r="Q49" s="3"/>
      <x:c r="R49" s="3"/>
      <x:c r="S49" s="3"/>
      <x:c r="T49" s="3"/>
    </x:row>
    <x:row r="50" ht="42" customHeight="1">
      <x:c r="A50" s="2"/>
      <x:c r="B50" s="2"/>
      <x:c r="C50" s="36" t="str">
        <x:v>Target resource gaps are minimum annual production requirements. Sales and activation lags require pipeline and capacity to be in place earlier. All customer counts are expected values.</x:v>
      </x:c>
      <x:c r="D50" s="18"/>
      <x:c r="E50" s="18"/>
      <x:c r="F50" s="18"/>
      <x:c r="G50" s="18"/>
      <x:c r="H50" s="18"/>
      <x:c r="I50" s="18"/>
      <x:c r="J50" s="18"/>
      <x:c r="K50" s="18"/>
      <x:c r="L50" s="18"/>
      <x:c r="M50" s="3"/>
      <x:c r="N50" s="3"/>
      <x:c r="O50" s="3"/>
      <x:c r="P50" s="3"/>
      <x:c r="Q50" s="3"/>
      <x:c r="R50" s="3"/>
      <x:c r="S50" s="3"/>
      <x:c r="T50" s="3"/>
    </x:row>
    <x:row r="51" ht="25" customHeight="1">
      <x:c r="A51" s="2"/>
      <x:c r="B51" s="2"/>
      <x:c r="C51" s="32"/>
      <x:c r="D51" s="3"/>
      <x:c r="E51" s="3"/>
      <x:c r="F51" s="3"/>
      <x:c r="G51" s="3"/>
      <x:c r="H51" s="3"/>
      <x:c r="I51" s="3"/>
      <x:c r="J51" s="3"/>
      <x:c r="K51" s="3"/>
      <x:c r="L51" s="3"/>
      <x:c r="M51" s="3"/>
      <x:c r="N51" s="3"/>
      <x:c r="O51" s="3"/>
      <x:c r="P51" s="3"/>
      <x:c r="Q51" s="3"/>
      <x:c r="R51" s="3"/>
      <x:c r="S51" s="3"/>
      <x:c r="T51" s="3"/>
    </x:row>
    <x:row r="52" ht="27" customHeight="1">
      <x:c r="A52" s="2"/>
      <x:c r="B52" s="2"/>
      <x:c r="C52" s="61" t="str">
        <x:v>Mapping prices by signed customer order</x:v>
      </x:c>
      <x:c r="D52" s="15"/>
      <x:c r="E52" s="15"/>
      <x:c r="F52" s="15"/>
      <x:c r="G52" s="15"/>
      <x:c r="H52" s="15"/>
      <x:c r="I52" s="15"/>
      <x:c r="J52" s="15"/>
      <x:c r="K52" s="15"/>
      <x:c r="L52" s="15"/>
      <x:c r="M52" s="15"/>
      <x:c r="N52" s="15"/>
      <x:c r="O52" s="15"/>
      <x:c r="P52" s="15"/>
      <x:c r="Q52" s="15"/>
      <x:c r="R52" s="15"/>
      <x:c r="S52" s="15"/>
      <x:c r="T52" s="15"/>
    </x:row>
    <x:row r="53" ht="25" customHeight="1">
      <x:c r="A53" s="2"/>
      <x:c r="B53" s="2"/>
      <x:c r="C53" s="32" t="str">
        <x:v>Cumulative contracts signed before quarter</x:v>
      </x:c>
      <x:c r="D53" s="3" t="n">
        <x:f>0</x:f>
        <x:v>0</x:v>
      </x:c>
      <x:c r="E53" s="3" t="n">
        <x:f>SUM($D$18:D18)</x:f>
        <x:v>5</x:v>
      </x:c>
      <x:c r="F53" s="3" t="n">
        <x:f>SUM($D$18:E18)</x:f>
        <x:v>30.0625</x:v>
      </x:c>
      <x:c r="G53" s="3" t="n">
        <x:f>SUM($D$18:F18)</x:f>
        <x:v>31.8984375</x:v>
      </x:c>
      <x:c r="H53" s="3" t="n">
        <x:f>SUM($D$18:G18)</x:f>
        <x:v>36.671875</x:v>
      </x:c>
      <x:c r="I53" s="3" t="n">
        <x:f>SUM($D$18:H18)</x:f>
        <x:v>44.3828125</x:v>
      </x:c>
      <x:c r="J53" s="3" t="n">
        <x:f>SUM($D$18:I18)</x:f>
        <x:v>63.87734375</x:v>
      </x:c>
      <x:c r="K53" s="3" t="n">
        <x:f>SUM($D$18:J18)</x:f>
        <x:v>87.834375</x:v>
      </x:c>
      <x:c r="L53" s="3" t="n">
        <x:f>SUM($D$18:K18)</x:f>
        <x:v>127.12265625</x:v>
      </x:c>
      <x:c r="M53" s="3" t="n">
        <x:f>SUM($D$18:L18)</x:f>
        <x:v>181.7421875</x:v>
      </x:c>
      <x:c r="N53" s="3" t="n">
        <x:f>SUM($D$18:M18)</x:f>
        <x:v>277.0296875</x:v>
      </x:c>
      <x:c r="O53" s="3" t="n">
        <x:f>SUM($D$18:N18)</x:f>
        <x:v>392.8421875</x:v>
      </x:c>
      <x:c r="P53" s="3" t="n">
        <x:f>SUM($D$18:O18)</x:f>
        <x:v>552.2546875</x:v>
      </x:c>
      <x:c r="Q53" s="3" t="n">
        <x:f>SUM($D$18:P18)</x:f>
        <x:v>760.8421875</x:v>
      </x:c>
      <x:c r="R53" s="3" t="n">
        <x:f>SUM($D$18:Q18)</x:f>
        <x:v>1057.590625</x:v>
      </x:c>
      <x:c r="S53" s="3" t="n">
        <x:f>SUM($D$18:R18)</x:f>
        <x:v>1408.5328125</x:v>
      </x:c>
      <x:c r="T53" s="3" t="n">
        <x:f>SUM($D$18:S18)</x:f>
        <x:v>1759.6734375</x:v>
      </x:c>
    </x:row>
    <x:row r="54" ht="25" customHeight="1">
      <x:c r="A54" s="2"/>
      <x:c r="B54" s="2"/>
      <x:c r="C54" s="32" t="str">
        <x:v>Design partner contracts signed</x:v>
      </x:c>
      <x:c r="D54" s="52" t="n">
        <x:f>MIN(D18,MAX(0,'Pricing'!$D$63-D53))</x:f>
        <x:v>5</x:v>
      </x:c>
      <x:c r="E54" s="52" t="n">
        <x:f>MIN(E18,MAX(0,'Pricing'!$D$63-E53))</x:f>
        <x:v>0</x:v>
      </x:c>
      <x:c r="F54" s="52" t="n">
        <x:f>MIN(F18,MAX(0,'Pricing'!$D$63-F53))</x:f>
        <x:v>0</x:v>
      </x:c>
      <x:c r="G54" s="52" t="n">
        <x:f>MIN(G18,MAX(0,'Pricing'!$D$63-G53))</x:f>
        <x:v>0</x:v>
      </x:c>
      <x:c r="H54" s="52" t="n">
        <x:f>MIN(H18,MAX(0,'Pricing'!$D$63-H53))</x:f>
        <x:v>0</x:v>
      </x:c>
      <x:c r="I54" s="52" t="n">
        <x:f>MIN(I18,MAX(0,'Pricing'!$D$63-I53))</x:f>
        <x:v>0</x:v>
      </x:c>
      <x:c r="J54" s="52" t="n">
        <x:f>MIN(J18,MAX(0,'Pricing'!$D$63-J53))</x:f>
        <x:v>0</x:v>
      </x:c>
      <x:c r="K54" s="52" t="n">
        <x:f>MIN(K18,MAX(0,'Pricing'!$D$63-K53))</x:f>
        <x:v>0</x:v>
      </x:c>
      <x:c r="L54" s="52" t="n">
        <x:f>MIN(L18,MAX(0,'Pricing'!$D$63-L53))</x:f>
        <x:v>0</x:v>
      </x:c>
      <x:c r="M54" s="52" t="n">
        <x:f>MIN(M18,MAX(0,'Pricing'!$D$63-M53))</x:f>
        <x:v>0</x:v>
      </x:c>
      <x:c r="N54" s="52" t="n">
        <x:f>MIN(N18,MAX(0,'Pricing'!$D$63-N53))</x:f>
        <x:v>0</x:v>
      </x:c>
      <x:c r="O54" s="52" t="n">
        <x:f>MIN(O18,MAX(0,'Pricing'!$D$63-O53))</x:f>
        <x:v>0</x:v>
      </x:c>
      <x:c r="P54" s="52" t="n">
        <x:f>MIN(P18,MAX(0,'Pricing'!$D$63-P53))</x:f>
        <x:v>0</x:v>
      </x:c>
      <x:c r="Q54" s="52" t="n">
        <x:f>MIN(Q18,MAX(0,'Pricing'!$D$63-Q53))</x:f>
        <x:v>0</x:v>
      </x:c>
      <x:c r="R54" s="52" t="n">
        <x:f>MIN(R18,MAX(0,'Pricing'!$D$63-R53))</x:f>
        <x:v>0</x:v>
      </x:c>
      <x:c r="S54" s="52" t="n">
        <x:f>MIN(S18,MAX(0,'Pricing'!$D$63-S53))</x:f>
        <x:v>0</x:v>
      </x:c>
      <x:c r="T54" s="52" t="n">
        <x:f>MIN(T18,MAX(0,'Pricing'!$D$63-T53))</x:f>
        <x:v>0</x:v>
      </x:c>
    </x:row>
    <x:row r="55" ht="25" customHeight="1">
      <x:c r="A55" s="2"/>
      <x:c r="B55" s="2"/>
      <x:c r="C55" s="32" t="str">
        <x:v>Introduction contracts signed</x:v>
      </x:c>
      <x:c r="D55" s="52" t="n">
        <x:f>MIN(D18-D54,MAX(0,SUM('Pricing'!$D$63:$D$64)-MAX('Pricing'!$D$63,D53)))</x:f>
        <x:v>0</x:v>
      </x:c>
      <x:c r="E55" s="52" t="n">
        <x:f>MIN(E18-E54,MAX(0,SUM('Pricing'!$D$63:$D$64)-MAX('Pricing'!$D$63,E53)))</x:f>
        <x:v>25.0625</x:v>
      </x:c>
      <x:c r="F55" s="52" t="n">
        <x:f>MIN(F18-F54,MAX(0,SUM('Pricing'!$D$63:$D$64)-MAX('Pricing'!$D$63,F53)))</x:f>
        <x:v>1.8359375</x:v>
      </x:c>
      <x:c r="G55" s="52" t="n">
        <x:f>MIN(G18-G54,MAX(0,SUM('Pricing'!$D$63:$D$64)-MAX('Pricing'!$D$63,G53)))</x:f>
        <x:v>4.7734375</x:v>
      </x:c>
      <x:c r="H55" s="52" t="n">
        <x:f>MIN(H18-H54,MAX(0,SUM('Pricing'!$D$63:$D$64)-MAX('Pricing'!$D$63,H53)))</x:f>
        <x:v>7.7109375</x:v>
      </x:c>
      <x:c r="I55" s="52" t="n">
        <x:f>MIN(I18-I54,MAX(0,SUM('Pricing'!$D$63:$D$64)-MAX('Pricing'!$D$63,I53)))</x:f>
        <x:v>5.6171875</x:v>
      </x:c>
      <x:c r="J55" s="52" t="n">
        <x:f>MIN(J18-J54,MAX(0,SUM('Pricing'!$D$63:$D$64)-MAX('Pricing'!$D$63,J53)))</x:f>
        <x:v>0</x:v>
      </x:c>
      <x:c r="K55" s="52" t="n">
        <x:f>MIN(K18-K54,MAX(0,SUM('Pricing'!$D$63:$D$64)-MAX('Pricing'!$D$63,K53)))</x:f>
        <x:v>0</x:v>
      </x:c>
      <x:c r="L55" s="52" t="n">
        <x:f>MIN(L18-L54,MAX(0,SUM('Pricing'!$D$63:$D$64)-MAX('Pricing'!$D$63,L53)))</x:f>
        <x:v>0</x:v>
      </x:c>
      <x:c r="M55" s="52" t="n">
        <x:f>MIN(M18-M54,MAX(0,SUM('Pricing'!$D$63:$D$64)-MAX('Pricing'!$D$63,M53)))</x:f>
        <x:v>0</x:v>
      </x:c>
      <x:c r="N55" s="52" t="n">
        <x:f>MIN(N18-N54,MAX(0,SUM('Pricing'!$D$63:$D$64)-MAX('Pricing'!$D$63,N53)))</x:f>
        <x:v>0</x:v>
      </x:c>
      <x:c r="O55" s="52" t="n">
        <x:f>MIN(O18-O54,MAX(0,SUM('Pricing'!$D$63:$D$64)-MAX('Pricing'!$D$63,O53)))</x:f>
        <x:v>0</x:v>
      </x:c>
      <x:c r="P55" s="52" t="n">
        <x:f>MIN(P18-P54,MAX(0,SUM('Pricing'!$D$63:$D$64)-MAX('Pricing'!$D$63,P53)))</x:f>
        <x:v>0</x:v>
      </x:c>
      <x:c r="Q55" s="52" t="n">
        <x:f>MIN(Q18-Q54,MAX(0,SUM('Pricing'!$D$63:$D$64)-MAX('Pricing'!$D$63,Q53)))</x:f>
        <x:v>0</x:v>
      </x:c>
      <x:c r="R55" s="52" t="n">
        <x:f>MIN(R18-R54,MAX(0,SUM('Pricing'!$D$63:$D$64)-MAX('Pricing'!$D$63,R53)))</x:f>
        <x:v>0</x:v>
      </x:c>
      <x:c r="S55" s="52" t="n">
        <x:f>MIN(S18-S54,MAX(0,SUM('Pricing'!$D$63:$D$64)-MAX('Pricing'!$D$63,S53)))</x:f>
        <x:v>0</x:v>
      </x:c>
      <x:c r="T55" s="52" t="n">
        <x:f>MIN(T18-T54,MAX(0,SUM('Pricing'!$D$63:$D$64)-MAX('Pricing'!$D$63,T53)))</x:f>
        <x:v>0</x:v>
      </x:c>
    </x:row>
    <x:row r="56" ht="25" customHeight="1">
      <x:c r="A56" s="2"/>
      <x:c r="B56" s="2"/>
      <x:c r="C56" s="32" t="str">
        <x:v>Standard-price contracts signed</x:v>
      </x:c>
      <x:c r="D56" s="3" t="n">
        <x:f>D18-D54-D55</x:f>
        <x:v>0</x:v>
      </x:c>
      <x:c r="E56" s="3" t="n">
        <x:f>E18-E54-E55</x:f>
        <x:v>0</x:v>
      </x:c>
      <x:c r="F56" s="3" t="n">
        <x:f>F18-F54-F55</x:f>
        <x:v>0</x:v>
      </x:c>
      <x:c r="G56" s="3" t="n">
        <x:f>G18-G54-G55</x:f>
        <x:v>0</x:v>
      </x:c>
      <x:c r="H56" s="3" t="n">
        <x:f>H18-H54-H55</x:f>
        <x:v>0</x:v>
      </x:c>
      <x:c r="I56" s="3" t="n">
        <x:f>I18-I54-I55</x:f>
        <x:v>13.877343750000001</x:v>
      </x:c>
      <x:c r="J56" s="3" t="n">
        <x:f>J18-J54-J55</x:f>
        <x:v>23.95703125</x:v>
      </x:c>
      <x:c r="K56" s="3" t="n">
        <x:f>K18-K54-K55</x:f>
        <x:v>39.288281250000004</x:v>
      </x:c>
      <x:c r="L56" s="3" t="n">
        <x:f>L18-L54-L55</x:f>
        <x:v>54.61953125</x:v>
      </x:c>
      <x:c r="M56" s="3" t="n">
        <x:f>M18-M54-M55</x:f>
        <x:v>95.2875</x:v>
      </x:c>
      <x:c r="N56" s="3" t="n">
        <x:f>N18-N54-N55</x:f>
        <x:v>115.8125</x:v>
      </x:c>
      <x:c r="O56" s="3" t="n">
        <x:f>O18-O54-O55</x:f>
        <x:v>159.41250000000002</x:v>
      </x:c>
      <x:c r="P56" s="3" t="n">
        <x:f>P18-P54-P55</x:f>
        <x:v>208.58749999999998</x:v>
      </x:c>
      <x:c r="Q56" s="3" t="n">
        <x:f>Q18-Q54-Q55</x:f>
        <x:v>296.7484375</x:v>
      </x:c>
      <x:c r="R56" s="3" t="n">
        <x:f>R18-R54-R55</x:f>
        <x:v>350.9421875</x:v>
      </x:c>
      <x:c r="S56" s="3" t="n">
        <x:f>S18-S54-S55</x:f>
        <x:v>351.140625</x:v>
      </x:c>
      <x:c r="T56" s="3" t="n">
        <x:f>T18-T54-T55</x:f>
        <x:v>454.515625</x:v>
      </x:c>
    </x:row>
    <x:row r="57" ht="25" customHeight="1">
      <x:c r="A57" s="2"/>
      <x:c r="B57" s="2"/>
      <x:c r="C57" s="32" t="str">
        <x:v>Signed mapping contract / customer, EUR</x:v>
      </x:c>
      <x:c r="D57" s="52" t="n">
        <x:f>IF(D18=0,0,(D54*(1-'Pricing'!$E$63)+D55*(1-'Pricing'!$E$64)+D56*(1-'Pricing'!$E$65))*'Pricing'!D70/D18)</x:f>
        <x:v>13397.440881027509</x:v>
      </x:c>
      <x:c r="E57" s="52" t="n">
        <x:f>IF(E18=0,0,(E54*(1-'Pricing'!$E$63)+E55*(1-'Pricing'!$E$64)+E56*(1-'Pricing'!$E$65))*'Pricing'!E70/E18)</x:f>
        <x:v>30896.717057308077</x:v>
      </x:c>
      <x:c r="F57" s="52" t="n">
        <x:f>IF(F18=0,0,(F54*(1-'Pricing'!$E$63)+F55*(1-'Pricing'!$E$64)+F56*(1-'Pricing'!$E$65))*'Pricing'!E70/F18)</x:f>
        <x:v>30896.71705730807</x:v>
      </x:c>
      <x:c r="G57" s="52" t="n">
        <x:f>IF(G18=0,0,(G54*(1-'Pricing'!$E$63)+G55*(1-'Pricing'!$E$64)+G56*(1-'Pricing'!$E$65))*'Pricing'!E70/G18)</x:f>
        <x:v>30896.717057308077</x:v>
      </x:c>
      <x:c r="H57" s="52" t="n">
        <x:f>IF(H18=0,0,(H54*(1-'Pricing'!$E$63)+H55*(1-'Pricing'!$E$64)+H56*(1-'Pricing'!$E$65))*'Pricing'!E70/H18)</x:f>
        <x:v>30896.717057308073</x:v>
      </x:c>
      <x:c r="I57" s="52" t="n">
        <x:f>IF(I18=0,0,(I54*(1-'Pricing'!$E$63)+I55*(1-'Pricing'!$E$64)+I56*(1-'Pricing'!$E$65))*'Pricing'!F70/I18)</x:f>
        <x:v>60135.19857481226</x:v>
      </x:c>
      <x:c r="J57" s="52" t="n">
        <x:f>IF(J18=0,0,(J54*(1-'Pricing'!$E$63)+J55*(1-'Pricing'!$E$64)+J56*(1-'Pricing'!$E$65))*'Pricing'!F70/J18)</x:f>
        <x:v>64803.33441460087</x:v>
      </x:c>
      <x:c r="K57" s="52" t="n">
        <x:f>IF(K18=0,0,(K54*(1-'Pricing'!$E$63)+K55*(1-'Pricing'!$E$64)+K56*(1-'Pricing'!$E$65))*'Pricing'!F70/K18)</x:f>
        <x:v>64803.334414600875</x:v>
      </x:c>
      <x:c r="L57" s="52" t="n">
        <x:f>IF(L18=0,0,(L54*(1-'Pricing'!$E$63)+L55*(1-'Pricing'!$E$64)+L56*(1-'Pricing'!$E$65))*'Pricing'!F70/L18)</x:f>
        <x:v>64803.33441460087</x:v>
      </x:c>
      <x:c r="M57" s="52" t="n">
        <x:f>IF(M18=0,0,(M54*(1-'Pricing'!$E$63)+M55*(1-'Pricing'!$E$64)+M56*(1-'Pricing'!$E$65))*'Pricing'!G70/M18)</x:f>
        <x:v>72003.70490511207</x:v>
      </x:c>
      <x:c r="N57" s="52" t="n">
        <x:f>IF(N18=0,0,(N54*(1-'Pricing'!$E$63)+N55*(1-'Pricing'!$E$64)+N56*(1-'Pricing'!$E$65))*'Pricing'!G70/N18)</x:f>
        <x:v>72003.70490511207</x:v>
      </x:c>
      <x:c r="O57" s="52" t="n">
        <x:f>IF(O18=0,0,(O54*(1-'Pricing'!$E$63)+O55*(1-'Pricing'!$E$64)+O56*(1-'Pricing'!$E$65))*'Pricing'!G70/O18)</x:f>
        <x:v>72003.70490511207</x:v>
      </x:c>
      <x:c r="P57" s="52" t="n">
        <x:f>IF(P18=0,0,(P54*(1-'Pricing'!$E$63)+P55*(1-'Pricing'!$E$64)+P56*(1-'Pricing'!$E$65))*'Pricing'!G70/P18)</x:f>
        <x:v>72003.70490511207</x:v>
      </x:c>
      <x:c r="Q57" s="52" t="n">
        <x:f>IF(Q18=0,0,(Q54*(1-'Pricing'!$E$63)+Q55*(1-'Pricing'!$E$64)+Q56*(1-'Pricing'!$E$65))*'Pricing'!H70/Q18)</x:f>
        <x:v>87941.23087563904</x:v>
      </x:c>
      <x:c r="R57" s="52" t="n">
        <x:f>IF(R18=0,0,(R54*(1-'Pricing'!$E$63)+R55*(1-'Pricing'!$E$64)+R56*(1-'Pricing'!$E$65))*'Pricing'!H70/R18)</x:f>
        <x:v>87941.23087563904</x:v>
      </x:c>
      <x:c r="S57" s="52" t="n">
        <x:f>IF(S18=0,0,(S54*(1-'Pricing'!$E$63)+S55*(1-'Pricing'!$E$64)+S56*(1-'Pricing'!$E$65))*'Pricing'!H70/S18)</x:f>
        <x:v>87941.23087563904</x:v>
      </x:c>
      <x:c r="T57" s="52" t="n">
        <x:f>IF(T18=0,0,(T54*(1-'Pricing'!$E$63)+T55*(1-'Pricing'!$E$64)+T56*(1-'Pricing'!$E$65))*'Pricing'!H70/T18)</x:f>
        <x:v>87941.23087563904</x:v>
      </x:c>
    </x:row>
    <x:row r="58" ht="25" customHeight="1">
      <x:c r="A58" s="2"/>
      <x:c r="B58" s="2"/>
      <x:c r="C58" s="32" t="str">
        <x:v>Eligible contract value incl. backlog, EUR</x:v>
      </x:c>
      <x:c r="D58" s="3" t="n">
        <x:f>0</x:f>
        <x:v>0</x:v>
      </x:c>
      <x:c r="E58" s="52" t="n">
        <x:f>D66+IF(1&lt;'Inputs'!E72,0,INDEX($D$18:$T$18,1,MAX(1,2-'Inputs'!E72))*INDEX($D$57:$T$57,1,MAX(1,2-'Inputs'!E72)))</x:f>
        <x:v>66987.20440513754</x:v>
      </x:c>
      <x:c r="F58" s="52" t="n">
        <x:f>E66+IF(2&lt;'Inputs'!E72,0,INDEX($D$18:$T$18,1,MAX(1,3-'Inputs'!E72))*INDEX($D$57:$T$57,1,MAX(1,3-'Inputs'!E72)))</x:f>
        <x:v>774348.9712487836</x:v>
      </x:c>
      <x:c r="G58" s="52" t="n">
        <x:f>F66+IF(3&lt;'Inputs'!E72,0,INDEX($D$18:$T$18,1,MAX(1,4-'Inputs'!E72))*INDEX($D$57:$T$57,1,MAX(1,4-'Inputs'!E72)))</x:f>
        <x:v>551071.9143893307</x:v>
      </x:c>
      <x:c r="H58" s="52" t="n">
        <x:f>G66+IF(4&lt;'Inputs'!E72,0,INDEX($D$18:$T$18,1,MAX(1,5-'Inputs'!E72))*INDEX($D$57:$T$57,1,MAX(1,5-'Inputs'!E72)))</x:f>
        <x:v>457174.86020735535</x:v>
      </x:c>
      <x:c r="I58" s="52" t="n">
        <x:f>H66+IF(5&lt;'Inputs'!F72,0,INDEX($D$18:$T$18,1,MAX(1,6-'Inputs'!F72))*INDEX($D$57:$T$57,1,MAX(1,6-'Inputs'!F72)))</x:f>
        <x:v>405760.79197917867</x:v>
      </x:c>
      <x:c r="J58" s="52" t="n">
        <x:f>I66+IF(6&lt;'Inputs'!F72,0,INDEX($D$18:$T$18,1,MAX(1,7-'Inputs'!F72))*INDEX($D$57:$T$57,1,MAX(1,7-'Inputs'!F72)))</x:f>
        <x:v>1172307.5078416332</x:v>
      </x:c>
      <x:c r="K58" s="52" t="n">
        <x:f>J66+IF(7&lt;'Inputs'!F72,0,INDEX($D$18:$T$18,1,MAX(1,8-'Inputs'!F72))*INDEX($D$57:$T$57,1,MAX(1,8-'Inputs'!F72)))</x:f>
        <x:v>1552495.5076747935</x:v>
      </x:c>
      <x:c r="L58" s="52" t="n">
        <x:f>K66+IF(8&lt;'Inputs'!F72,0,INDEX($D$18:$T$18,1,MAX(1,9-'Inputs'!F72))*INDEX($D$57:$T$57,1,MAX(1,9-'Inputs'!F72)))</x:f>
        <x:v>2546011.6284186435</x:v>
      </x:c>
      <x:c r="M58" s="52" t="n">
        <x:f>L66+IF(9&lt;'Inputs'!G72,0,INDEX($D$18:$T$18,1,MAX(1,10-'Inputs'!G72))*INDEX($D$57:$T$57,1,MAX(1,10-'Inputs'!G72)))</x:f>
        <x:v>3717585.0359876114</x:v>
      </x:c>
      <x:c r="N58" s="52" t="n">
        <x:f>M66+IF(10&lt;'Inputs'!G72,0,INDEX($D$18:$T$18,1,MAX(1,11-'Inputs'!G72))*INDEX($D$57:$T$57,1,MAX(1,11-'Inputs'!G72)))</x:f>
        <x:v>6861053.031145866</x:v>
      </x:c>
      <x:c r="O58" s="52" t="n">
        <x:f>N66+IF(11&lt;'Inputs'!G72,0,INDEX($D$18:$T$18,1,MAX(1,12-'Inputs'!G72))*INDEX($D$57:$T$57,1,MAX(1,12-'Inputs'!G72)))</x:f>
        <x:v>8338929.074323292</x:v>
      </x:c>
      <x:c r="P58" s="52" t="n">
        <x:f>O66+IF(12&lt;'Inputs'!G72,0,INDEX($D$18:$T$18,1,MAX(1,13-'Inputs'!G72))*INDEX($D$57:$T$57,1,MAX(1,13-'Inputs'!G72)))</x:f>
        <x:v>11478290.60818618</x:v>
      </x:c>
      <x:c r="Q58" s="52" t="n">
        <x:f>P66+IF(13&lt;'Inputs'!H72,0,INDEX($D$18:$T$18,1,MAX(1,14-'Inputs'!H72))*INDEX($D$57:$T$57,1,MAX(1,14-'Inputs'!H72)))</x:f>
        <x:v>15019072.796895063</x:v>
      </x:c>
      <x:c r="R58" s="52" t="n">
        <x:f>Q66+IF(14&lt;'Inputs'!H72,0,INDEX($D$18:$T$18,1,MAX(1,15-'Inputs'!H72))*INDEX($D$57:$T$57,1,MAX(1,15-'Inputs'!H72)))</x:f>
        <x:v>26096422.854172643</x:v>
      </x:c>
      <x:c r="S58" s="52" t="n">
        <x:f>R66+IF(15&lt;'Inputs'!H72,0,INDEX($D$18:$T$18,1,MAX(1,16-'Inputs'!H72))*INDEX($D$57:$T$57,1,MAX(1,16-'Inputs'!H72)))</x:f>
        <x:v>30862287.934939306</x:v>
      </x:c>
      <x:c r="T58" s="52" t="n">
        <x:f>S66+IF(16&lt;'Inputs'!H72,0,INDEX($D$18:$T$18,1,MAX(1,17-'Inputs'!H72))*INDEX($D$57:$T$57,1,MAX(1,17-'Inputs'!H72)))</x:f>
        <x:v>32395371.535039533</x:v>
      </x:c>
    </x:row>
    <x:row r="59" ht="25" customHeight="1">
      <x:c r="A59" s="2"/>
      <x:c r="B59" s="2"/>
      <x:c r="C59" s="32" t="str">
        <x:v>Eligible mapping contract / customer, EUR</x:v>
      </x:c>
      <x:c r="D59" s="3" t="n">
        <x:f>IF(D22=0,0,D58/D22)</x:f>
        <x:v>0</x:v>
      </x:c>
      <x:c r="E59" s="3" t="n">
        <x:f>IF(E22=0,0,E58/E22)</x:f>
        <x:v>13397.440881027509</x:v>
      </x:c>
      <x:c r="F59" s="3" t="n">
        <x:f>IF(F22=0,0,F58/F22)</x:f>
        <x:v>30896.717057308077</x:v>
      </x:c>
      <x:c r="G59" s="3" t="n">
        <x:f>IF(G22=0,0,G58/G22)</x:f>
        <x:v>30896.71705730807</x:v>
      </x:c>
      <x:c r="H59" s="3" t="n">
        <x:f>IF(H22=0,0,H58/H22)</x:f>
        <x:v>30896.71705730807</x:v>
      </x:c>
      <x:c r="I59" s="3" t="n">
        <x:f>IF(I22=0,0,I58/I22)</x:f>
        <x:v>30896.717057308073</x:v>
      </x:c>
      <x:c r="J59" s="3" t="n">
        <x:f>IF(J22=0,0,J58/J22)</x:f>
        <x:v>60135.19857481226</x:v>
      </x:c>
      <x:c r="K59" s="3" t="n">
        <x:f>IF(K22=0,0,K58/K22)</x:f>
        <x:v>64803.33441460087</x:v>
      </x:c>
      <x:c r="L59" s="3" t="n">
        <x:f>IF(L22=0,0,L58/L22)</x:f>
        <x:v>64803.334414600875</x:v>
      </x:c>
      <x:c r="M59" s="3" t="n">
        <x:f>IF(M22=0,0,M58/M22)</x:f>
        <x:v>64803.334414600875</x:v>
      </x:c>
      <x:c r="N59" s="3" t="n">
        <x:f>IF(N22=0,0,N58/N22)</x:f>
        <x:v>72003.70490511207</x:v>
      </x:c>
      <x:c r="O59" s="3" t="n">
        <x:f>IF(O22=0,0,O58/O22)</x:f>
        <x:v>72003.70490511207</x:v>
      </x:c>
      <x:c r="P59" s="3" t="n">
        <x:f>IF(P22=0,0,P58/P22)</x:f>
        <x:v>72003.70490511207</x:v>
      </x:c>
      <x:c r="Q59" s="3" t="n">
        <x:f>IF(Q22=0,0,Q58/Q22)</x:f>
        <x:v>72003.70490511207</x:v>
      </x:c>
      <x:c r="R59" s="3" t="n">
        <x:f>IF(R22=0,0,R58/R22)</x:f>
        <x:v>87941.23087563904</x:v>
      </x:c>
      <x:c r="S59" s="3" t="n">
        <x:f>IF(S22=0,0,S58/S22)</x:f>
        <x:v>87941.23087563904</x:v>
      </x:c>
      <x:c r="T59" s="3" t="n">
        <x:f>IF(T22=0,0,T58/T22)</x:f>
        <x:v>87941.23087563904</x:v>
      </x:c>
    </x:row>
    <x:row r="60" ht="25" customHeight="1">
      <x:c r="A60" s="2"/>
      <x:c r="B60" s="2"/>
      <x:c r="C60" s="32"/>
      <x:c r="D60" s="3"/>
      <x:c r="E60" s="3"/>
      <x:c r="F60" s="3"/>
      <x:c r="G60" s="3"/>
      <x:c r="H60" s="3"/>
      <x:c r="I60" s="3"/>
      <x:c r="J60" s="3"/>
      <x:c r="K60" s="3"/>
      <x:c r="L60" s="3"/>
      <x:c r="M60" s="3"/>
      <x:c r="N60" s="3"/>
      <x:c r="O60" s="3"/>
      <x:c r="P60" s="3"/>
      <x:c r="Q60" s="3"/>
      <x:c r="R60" s="3"/>
      <x:c r="S60" s="3"/>
      <x:c r="T60" s="3"/>
    </x:row>
    <x:row r="61" ht="25" customHeight="1">
      <x:c r="A61" s="2"/>
      <x:c r="B61" s="2"/>
      <x:c r="C61" s="32" t="str">
        <x:v>Accepted mapping revenue, EUR</x:v>
      </x:c>
      <x:c r="D61" s="3" t="n">
        <x:f>D25*D59</x:f>
        <x:v>0</x:v>
      </x:c>
      <x:c r="E61" s="3" t="n">
        <x:f>E25*E59</x:f>
        <x:v>66987.20440513754</x:v>
      </x:c>
      <x:c r="F61" s="3" t="n">
        <x:f>F25*F59</x:f>
        <x:v>280001.49833185447</x:v>
      </x:c>
      <x:c r="G61" s="3" t="n">
        <x:f>G25*G59</x:f>
        <x:v>241380.6020102193</x:v>
      </x:c>
      <x:c r="H61" s="3" t="n">
        <x:f>H25*H59</x:f>
        <x:v>289656.72241226316</x:v>
      </x:c>
      <x:c r="I61" s="3" t="n">
        <x:f>I25*I59</x:f>
        <x:v>405760.79197917867</x:v>
      </x:c>
      <x:c r="J61" s="3" t="n">
        <x:f>J25*J59</x:f>
        <x:v>1172307.5078416332</x:v>
      </x:c>
      <x:c r="K61" s="3" t="n">
        <x:f>K25*K59</x:f>
        <x:v>1552495.5076747935</x:v>
      </x:c>
      <x:c r="L61" s="3" t="n">
        <x:f>L25*L59</x:f>
        <x:v>2367954.341593525</x:v>
      </x:c>
      <x:c r="M61" s="3" t="n">
        <x:f>M25*M59</x:f>
        <x:v>3717585.0359876114</x:v>
      </x:c>
      <x:c r="N61" s="3" t="n">
        <x:f>N25*N59</x:f>
        <x:v>6861053.031145866</x:v>
      </x:c>
      <x:c r="O61" s="3" t="n">
        <x:f>O25*O59</x:f>
        <x:v>8338929.074323292</x:v>
      </x:c>
      <x:c r="P61" s="3" t="n">
        <x:f>P25*P59</x:f>
        <x:v>11478290.60818618</x:v>
      </x:c>
      <x:c r="Q61" s="3" t="n">
        <x:f>Q25*Q59</x:f>
        <x:v>15019072.796895063</x:v>
      </x:c>
      <x:c r="R61" s="3" t="n">
        <x:f>R25*R59</x:f>
        <x:v>26096422.854172643</x:v>
      </x:c>
      <x:c r="S61" s="3" t="n">
        <x:f>S25*S59</x:f>
        <x:v>29346655.172840964</x:v>
      </x:c>
      <x:c r="T61" s="3" t="n">
        <x:f>T25*T59</x:f>
        <x:v>24595506.50742866</x:v>
      </x:c>
    </x:row>
    <x:row r="62" ht="25" customHeight="1">
      <x:c r="A62" s="2"/>
      <x:c r="B62" s="2"/>
      <x:c r="C62" s="60" t="str">
        <x:v>Accepted mapping revenue / invoices, EUR</x:v>
      </x:c>
      <x:c r="D62" s="40" t="n">
        <x:f>D61</x:f>
        <x:v>0</x:v>
      </x:c>
      <x:c r="E62" s="40" t="n">
        <x:f>E61</x:f>
        <x:v>66987.20440513754</x:v>
      </x:c>
      <x:c r="F62" s="40" t="n">
        <x:f>F61</x:f>
        <x:v>280001.49833185447</x:v>
      </x:c>
      <x:c r="G62" s="40" t="n">
        <x:f>G61</x:f>
        <x:v>241380.6020102193</x:v>
      </x:c>
      <x:c r="H62" s="40" t="n">
        <x:f>H61</x:f>
        <x:v>289656.72241226316</x:v>
      </x:c>
      <x:c r="I62" s="40" t="n">
        <x:f>I61</x:f>
        <x:v>405760.79197917867</x:v>
      </x:c>
      <x:c r="J62" s="40" t="n">
        <x:f>J61</x:f>
        <x:v>1172307.5078416332</x:v>
      </x:c>
      <x:c r="K62" s="40" t="n">
        <x:f>K61</x:f>
        <x:v>1552495.5076747935</x:v>
      </x:c>
      <x:c r="L62" s="40" t="n">
        <x:f>L61</x:f>
        <x:v>2367954.341593525</x:v>
      </x:c>
      <x:c r="M62" s="40" t="n">
        <x:f>M61</x:f>
        <x:v>3717585.0359876114</x:v>
      </x:c>
      <x:c r="N62" s="40" t="n">
        <x:f>N61</x:f>
        <x:v>6861053.031145866</x:v>
      </x:c>
      <x:c r="O62" s="40" t="n">
        <x:f>O61</x:f>
        <x:v>8338929.074323292</x:v>
      </x:c>
      <x:c r="P62" s="40" t="n">
        <x:f>P61</x:f>
        <x:v>11478290.60818618</x:v>
      </x:c>
      <x:c r="Q62" s="40" t="n">
        <x:f>Q61</x:f>
        <x:v>15019072.796895063</x:v>
      </x:c>
      <x:c r="R62" s="40" t="n">
        <x:f>R61</x:f>
        <x:v>26096422.854172643</x:v>
      </x:c>
      <x:c r="S62" s="40" t="n">
        <x:f>S61</x:f>
        <x:v>29346655.172840964</x:v>
      </x:c>
      <x:c r="T62" s="40" t="n">
        <x:f>T61</x:f>
        <x:v>24595506.50742866</x:v>
      </x:c>
    </x:row>
    <x:row r="63" ht="25" customHeight="1">
      <x:c r="A63" s="2"/>
      <x:c r="B63" s="2"/>
      <x:c r="C63" s="32" t="str">
        <x:v>Direct mapping revenue, EUR</x:v>
      </x:c>
      <x:c r="D63" s="3" t="n">
        <x:f>IF(D25=0,0,D62*D26/D25)</x:f>
        <x:v>0</x:v>
      </x:c>
      <x:c r="E63" s="3" t="n">
        <x:f>IF(E25=0,0,E62*E26/E25)</x:f>
        <x:v>66987.20440513754</x:v>
      </x:c>
      <x:c r="F63" s="3" t="n">
        <x:f>IF(F25=0,0,F62*F26/F25)</x:f>
        <x:v>279303.24023127626</x:v>
      </x:c>
      <x:c r="G63" s="3" t="n">
        <x:f>IF(G25=0,0,G62*G26/G25)</x:f>
        <x:v>236611.43389987663</x:v>
      </x:c>
      <x:c r="H63" s="3" t="n">
        <x:f>IF(H25=0,0,H62*H26/H25)</x:f>
        <x:v>269874.8267662448</x:v>
      </x:c>
      <x:c r="I63" s="3" t="n">
        <x:f>IF(I25=0,0,I62*I26/I25)</x:f>
        <x:v>353768.32119284786</x:v>
      </x:c>
      <x:c r="J63" s="3" t="n">
        <x:f>IF(J25=0,0,J62*J26/J25)</x:f>
        <x:v>997539.586983585</x:v>
      </x:c>
      <x:c r="K63" s="3" t="n">
        <x:f>IF(K25=0,0,K62*K26/K25)</x:f>
        <x:v>1266955.8154104582</x:v>
      </x:c>
      <x:c r="L63" s="3" t="n">
        <x:f>IF(L25=0,0,L62*L26/L25)</x:f>
        <x:v>1966773.7456306538</x:v>
      </x:c>
      <x:c r="M63" s="3" t="n">
        <x:f>IF(M25=0,0,M62*M26/M25)</x:f>
        <x:v>3110263.7401232566</x:v>
      </x:c>
      <x:c r="N63" s="3" t="n">
        <x:f>IF(N25=0,0,N62*N26/N25)</x:f>
        <x:v>5740495.37356006</x:v>
      </x:c>
      <x:c r="O63" s="3" t="n">
        <x:f>IF(O25=0,0,O62*O26/O25)</x:f>
        <x:v>6804350.113533091</x:v>
      </x:c>
      <x:c r="P63" s="3" t="n">
        <x:f>IF(P25=0,0,P62*P26/P25)</x:f>
        <x:v>9331680.155702526</x:v>
      </x:c>
      <x:c r="Q63" s="3" t="n">
        <x:f>IF(Q25=0,0,Q62*Q26/Q25)</x:f>
        <x:v>12260430.852717958</x:v>
      </x:c>
      <x:c r="R63" s="3" t="n">
        <x:f>IF(R25=0,0,R62*R26/R25)</x:f>
        <x:v>20895523.496918045</x:v>
      </x:c>
      <x:c r="S63" s="3" t="n">
        <x:f>IF(S25=0,0,S62*S26/S25)</x:f>
        <x:v>23303624.5733214</x:v>
      </x:c>
      <x:c r="T63" s="3" t="n">
        <x:f>IF(T25=0,0,T62*T26/T25)</x:f>
        <x:v>18490312.673901826</x:v>
      </x:c>
    </x:row>
    <x:row r="64" ht="25" customHeight="1">
      <x:c r="A64" s="2"/>
      <x:c r="B64" s="2"/>
      <x:c r="C64" s="32" t="str">
        <x:v>Partner mapping revenue, EUR</x:v>
      </x:c>
      <x:c r="D64" s="3" t="n">
        <x:f>D62-D63</x:f>
        <x:v>0</x:v>
      </x:c>
      <x:c r="E64" s="3" t="n">
        <x:f>E62-E63</x:f>
        <x:v>0</x:v>
      </x:c>
      <x:c r="F64" s="3" t="n">
        <x:f>F62-F63</x:f>
        <x:v>698.2581005782122</x:v>
      </x:c>
      <x:c r="G64" s="3" t="n">
        <x:f>G62-G63</x:f>
        <x:v>4769.168110342667</x:v>
      </x:c>
      <x:c r="H64" s="3" t="n">
        <x:f>H62-H63</x:f>
        <x:v>19781.895646018384</x:v>
      </x:c>
      <x:c r="I64" s="3" t="n">
        <x:f>I62-I63</x:f>
        <x:v>51992.470786330814</x:v>
      </x:c>
      <x:c r="J64" s="3" t="n">
        <x:f>J62-J63</x:f>
        <x:v>174767.92085804814</x:v>
      </x:c>
      <x:c r="K64" s="3" t="n">
        <x:f>K62-K63</x:f>
        <x:v>285539.69226433523</x:v>
      </x:c>
      <x:c r="L64" s="3" t="n">
        <x:f>L62-L63</x:f>
        <x:v>401180.5959628711</x:v>
      </x:c>
      <x:c r="M64" s="3" t="n">
        <x:f>M62-M63</x:f>
        <x:v>607321.2958643548</x:v>
      </x:c>
      <x:c r="N64" s="3" t="n">
        <x:f>N62-N63</x:f>
        <x:v>1120557.6575858062</x:v>
      </x:c>
      <x:c r="O64" s="3" t="n">
        <x:f>O62-O63</x:f>
        <x:v>1534578.960790201</x:v>
      </x:c>
      <x:c r="P64" s="3" t="n">
        <x:f>P62-P63</x:f>
        <x:v>2146610.452483654</x:v>
      </x:c>
      <x:c r="Q64" s="3" t="n">
        <x:f>Q62-Q63</x:f>
        <x:v>2758641.944177104</x:v>
      </x:c>
      <x:c r="R64" s="3" t="n">
        <x:f>R62-R63</x:f>
        <x:v>5200899.357254598</x:v>
      </x:c>
      <x:c r="S64" s="3" t="n">
        <x:f>S62-S63</x:f>
        <x:v>6043030.599519566</x:v>
      </x:c>
      <x:c r="T64" s="3" t="n">
        <x:f>T62-T63</x:f>
        <x:v>6105193.833526835</x:v>
      </x:c>
    </x:row>
    <x:row r="65" ht="25" customHeight="1">
      <x:c r="A65" s="2"/>
      <x:c r="B65" s="2"/>
      <x:c r="C65" s="32"/>
      <x:c r="D65" s="3"/>
      <x:c r="E65" s="3"/>
      <x:c r="F65" s="3"/>
      <x:c r="G65" s="3"/>
      <x:c r="H65" s="3"/>
      <x:c r="I65" s="3"/>
      <x:c r="J65" s="3"/>
      <x:c r="K65" s="3"/>
      <x:c r="L65" s="3"/>
      <x:c r="M65" s="3"/>
      <x:c r="N65" s="3"/>
      <x:c r="O65" s="3"/>
      <x:c r="P65" s="3"/>
      <x:c r="Q65" s="3"/>
      <x:c r="R65" s="3"/>
      <x:c r="S65" s="3"/>
      <x:c r="T65" s="3"/>
    </x:row>
    <x:row r="66" ht="25" customHeight="1">
      <x:c r="A66" s="2"/>
      <x:c r="B66" s="2"/>
      <x:c r="C66" s="32" t="str">
        <x:v>Unactivated eligible mapping contract value</x:v>
      </x:c>
      <x:c r="D66" s="3" t="n">
        <x:f>D58-D25*D59</x:f>
        <x:v>0</x:v>
      </x:c>
      <x:c r="E66" s="3" t="n">
        <x:f>E58-E25*E59</x:f>
        <x:v>0</x:v>
      </x:c>
      <x:c r="F66" s="3" t="n">
        <x:f>F58-F25*F59</x:f>
        <x:v>494347.47291692917</x:v>
      </x:c>
      <x:c r="G66" s="3" t="n">
        <x:f>G58-G25*G59</x:f>
        <x:v>309691.31237911136</x:v>
      </x:c>
      <x:c r="H66" s="3" t="n">
        <x:f>H58-H25*H59</x:f>
        <x:v>167518.1377950922</x:v>
      </x:c>
      <x:c r="I66" s="3" t="n">
        <x:f>I58-I25*I59</x:f>
        <x:v>0</x:v>
      </x:c>
      <x:c r="J66" s="3" t="n">
        <x:f>J58-J25*J59</x:f>
        <x:v>0</x:v>
      </x:c>
      <x:c r="K66" s="3" t="n">
        <x:f>K58-K25*K59</x:f>
        <x:v>0</x:v>
      </x:c>
      <x:c r="L66" s="3" t="n">
        <x:f>L58-L25*L59</x:f>
        <x:v>178057.2868251186</x:v>
      </x:c>
      <x:c r="M66" s="3" t="n">
        <x:f>M58-M25*M59</x:f>
        <x:v>0</x:v>
      </x:c>
      <x:c r="N66" s="3" t="n">
        <x:f>N58-N25*N59</x:f>
        <x:v>0</x:v>
      </x:c>
      <x:c r="O66" s="3" t="n">
        <x:f>O58-O25*O59</x:f>
        <x:v>0</x:v>
      </x:c>
      <x:c r="P66" s="3" t="n">
        <x:f>P58-P25*P59</x:f>
        <x:v>0</x:v>
      </x:c>
      <x:c r="Q66" s="3" t="n">
        <x:f>Q58-Q25*Q59</x:f>
        <x:v>0</x:v>
      </x:c>
      <x:c r="R66" s="3" t="n">
        <x:f>R58-R25*R59</x:f>
        <x:v>0</x:v>
      </x:c>
      <x:c r="S66" s="3" t="n">
        <x:f>S58-S25*S59</x:f>
        <x:v>1515632.7620983422</x:v>
      </x:c>
      <x:c r="T66" s="3" t="n">
        <x:f>T58-T25*T59</x:f>
        <x:v>7799865.027610872</x:v>
      </x:c>
    </x:row>
    <x:row r="67" ht="25" customHeight="1">
      <x:c r="A67" s="2"/>
      <x:c r="B67" s="2"/>
      <x:c r="C67" s="60" t="str">
        <x:v>Cumulative new contracts signed</x:v>
      </x:c>
      <x:c r="D67" s="40" t="n">
        <x:f>D53+D18</x:f>
        <x:v>5</x:v>
      </x:c>
      <x:c r="E67" s="40" t="n">
        <x:f>E53+E18</x:f>
        <x:v>30.0625</x:v>
      </x:c>
      <x:c r="F67" s="40" t="n">
        <x:f>F53+F18</x:f>
        <x:v>31.8984375</x:v>
      </x:c>
      <x:c r="G67" s="40" t="n">
        <x:f>G53+G18</x:f>
        <x:v>36.671875</x:v>
      </x:c>
      <x:c r="H67" s="40" t="n">
        <x:f>H53+H18</x:f>
        <x:v>44.3828125</x:v>
      </x:c>
      <x:c r="I67" s="40" t="n">
        <x:f>I53+I18</x:f>
        <x:v>63.87734375</x:v>
      </x:c>
      <x:c r="J67" s="40" t="n">
        <x:f>J53+J18</x:f>
        <x:v>87.834375</x:v>
      </x:c>
      <x:c r="K67" s="40" t="n">
        <x:f>K53+K18</x:f>
        <x:v>127.12265625</x:v>
      </x:c>
      <x:c r="L67" s="40" t="n">
        <x:f>L53+L18</x:f>
        <x:v>181.7421875</x:v>
      </x:c>
      <x:c r="M67" s="40" t="n">
        <x:f>M53+M18</x:f>
        <x:v>277.0296875</x:v>
      </x:c>
      <x:c r="N67" s="40" t="n">
        <x:f>N53+N18</x:f>
        <x:v>392.8421875</x:v>
      </x:c>
      <x:c r="O67" s="40" t="n">
        <x:f>O53+O18</x:f>
        <x:v>552.2546875</x:v>
      </x:c>
      <x:c r="P67" s="40" t="n">
        <x:f>P53+P18</x:f>
        <x:v>760.8421875</x:v>
      </x:c>
      <x:c r="Q67" s="40" t="n">
        <x:f>Q53+Q18</x:f>
        <x:v>1057.590625</x:v>
      </x:c>
      <x:c r="R67" s="40" t="n">
        <x:f>R53+R18</x:f>
        <x:v>1408.5328125</x:v>
      </x:c>
      <x:c r="S67" s="40" t="n">
        <x:f>S53+S18</x:f>
        <x:v>1759.6734375</x:v>
      </x:c>
      <x:c r="T67" s="40" t="n">
        <x:f>T53+T18</x:f>
        <x:v>2214.1890625</x:v>
      </x:c>
    </x:row>
    <x:row r="68" ht="25" customHeight="1">
      <x:c r="A68" s="2"/>
      <x:c r="B68" s="2"/>
      <x:c r="C68" s="32"/>
      <x:c r="D68" s="3"/>
      <x:c r="E68" s="3"/>
      <x:c r="F68" s="3"/>
      <x:c r="G68" s="3"/>
      <x:c r="H68" s="3"/>
      <x:c r="I68" s="3"/>
      <x:c r="J68" s="3"/>
      <x:c r="K68" s="3"/>
      <x:c r="L68" s="3"/>
      <x:c r="M68" s="3"/>
      <x:c r="N68" s="3"/>
      <x:c r="O68" s="3"/>
      <x:c r="P68" s="3"/>
      <x:c r="Q68" s="3"/>
      <x:c r="R68" s="3"/>
      <x:c r="S68" s="3"/>
      <x:c r="T68" s="3"/>
    </x:row>
    <x:row r="69" ht="25" customHeight="1">
      <x:c r="A69" s="2"/>
      <x:c r="B69" s="2"/>
      <x:c r="C69" s="60" t="str">
        <x:v>New first-year ACV incl. mapping, EUR</x:v>
      </x:c>
      <x:c r="D69" s="57" t="n">
        <x:f>IF(D25=0,0,D62/D25+'Pricing'!D36)</x:f>
        <x:v>0</x:v>
      </x:c>
      <x:c r="E69" s="57" t="n">
        <x:f>IF(E25=0,0,E62/E25+'Pricing'!E36)</x:f>
        <x:v>33682.600618199074</x:v>
      </x:c>
      <x:c r="F69" s="57" t="n">
        <x:f>IF(F25=0,0,F62/F25+'Pricing'!E36)</x:f>
        <x:v>51181.87679447964</x:v>
      </x:c>
      <x:c r="G69" s="57" t="n">
        <x:f>IF(G25=0,0,G62/G25+'Pricing'!E36)</x:f>
        <x:v>51181.876794479635</x:v>
      </x:c>
      <x:c r="H69" s="57" t="n">
        <x:f>IF(H25=0,0,H62/H25+'Pricing'!E36)</x:f>
        <x:v>51181.876794479635</x:v>
      </x:c>
      <x:c r="I69" s="57" t="n">
        <x:f>IF(I25=0,0,I62/I25+'Pricing'!F36)</x:f>
        <x:v>61921.61123159947</x:v>
      </x:c>
      <x:c r="J69" s="57" t="n">
        <x:f>IF(J25=0,0,J62/J25+'Pricing'!F36)</x:f>
        <x:v>91160.09274910366</x:v>
      </x:c>
      <x:c r="K69" s="57" t="n">
        <x:f>IF(K25=0,0,K62/K25+'Pricing'!F36)</x:f>
        <x:v>95828.22858889226</x:v>
      </x:c>
      <x:c r="L69" s="57" t="n">
        <x:f>IF(L25=0,0,L62/L25+'Pricing'!F36)</x:f>
        <x:v>95828.22858889226</x:v>
      </x:c>
      <x:c r="M69" s="57" t="n">
        <x:f>IF(M25=0,0,M62/M25+'Pricing'!G36)</x:f>
        <x:v>99275.43905270242</x:v>
      </x:c>
      <x:c r="N69" s="57" t="n">
        <x:f>IF(N25=0,0,N62/N25+'Pricing'!G36)</x:f>
        <x:v>106475.80954321362</x:v>
      </x:c>
      <x:c r="O69" s="57" t="n">
        <x:f>IF(O25=0,0,O62/O25+'Pricing'!G36)</x:f>
        <x:v>106475.80954321362</x:v>
      </x:c>
      <x:c r="P69" s="57" t="n">
        <x:f>IF(P25=0,0,P62/P25+'Pricing'!G36)</x:f>
        <x:v>106475.80954321362</x:v>
      </x:c>
      <x:c r="Q69" s="57" t="n">
        <x:f>IF(Q25=0,0,Q62/Q25+'Pricing'!H36)</x:f>
        <x:v>113566.6011650881</x:v>
      </x:c>
      <x:c r="R69" s="57" t="n">
        <x:f>IF(R25=0,0,R62/R25+'Pricing'!H36)</x:f>
        <x:v>129504.12713561507</x:v>
      </x:c>
      <x:c r="S69" s="57" t="n">
        <x:f>IF(S25=0,0,S62/S25+'Pricing'!H36)</x:f>
        <x:v>129504.12713561507</x:v>
      </x:c>
      <x:c r="T69" s="57" t="n">
        <x:f>IF(T25=0,0,T62/T25+'Pricing'!H36)</x:f>
        <x:v>129504.12713561507</x:v>
      </x:c>
    </x:row>
    <x:row r="70" ht="25" customHeight="1">
      <x:c r="A70" s="2"/>
      <x:c r="B70" s="2"/>
      <x:c r="C70" s="32"/>
      <x:c r="D70" s="3"/>
      <x:c r="E70" s="3"/>
      <x:c r="F70" s="3"/>
      <x:c r="G70" s="3"/>
      <x:c r="H70" s="3"/>
      <x:c r="I70" s="3"/>
      <x:c r="J70" s="3"/>
      <x:c r="K70" s="3"/>
      <x:c r="L70" s="3"/>
      <x:c r="M70" s="3"/>
      <x:c r="N70" s="3"/>
      <x:c r="O70" s="3"/>
      <x:c r="P70" s="3"/>
      <x:c r="Q70" s="3"/>
      <x:c r="R70" s="3"/>
      <x:c r="S70" s="3"/>
      <x:c r="T70" s="3"/>
    </x:row>
    <x:row r="71" ht="25" customHeight="1">
      <x:c r="A71" s="2"/>
      <x:c r="B71" s="2"/>
      <x:c r="C71" s="32"/>
      <x:c r="D71" s="3"/>
      <x:c r="E71" s="3"/>
      <x:c r="F71" s="3"/>
      <x:c r="G71" s="3"/>
      <x:c r="H71" s="3"/>
      <x:c r="I71" s="3"/>
      <x:c r="J71" s="3"/>
      <x:c r="K71" s="3"/>
      <x:c r="L71" s="3"/>
      <x:c r="M71" s="3"/>
      <x:c r="N71" s="3"/>
      <x:c r="O71" s="3"/>
      <x:c r="P71" s="3"/>
      <x:c r="Q71" s="3"/>
      <x:c r="R71" s="3"/>
      <x:c r="S71" s="3"/>
      <x:c r="T71" s="3"/>
    </x:row>
    <x:row r="72" ht="25" customHeight="1">
      <x:c r="A72" s="2"/>
      <x:c r="B72" s="2"/>
      <x:c r="C72" s="32"/>
      <x:c r="D72" s="3"/>
      <x:c r="E72" s="3"/>
      <x:c r="F72" s="3"/>
      <x:c r="G72" s="3"/>
      <x:c r="H72" s="3"/>
      <x:c r="I72" s="3"/>
      <x:c r="J72" s="3"/>
      <x:c r="K72" s="3"/>
      <x:c r="L72" s="3"/>
      <x:c r="M72" s="3"/>
      <x:c r="N72" s="3"/>
      <x:c r="O72" s="3"/>
      <x:c r="P72" s="3"/>
      <x:c r="Q72" s="3"/>
      <x:c r="R72" s="3"/>
      <x:c r="S72" s="3"/>
      <x:c r="T72" s="3"/>
    </x:row>
    <x:row r="73" ht="25" customHeight="1">
      <x:c r="A73" s="2"/>
      <x:c r="B73" s="2"/>
      <x:c r="C73" s="32"/>
      <x:c r="D73" s="3"/>
      <x:c r="E73" s="3"/>
      <x:c r="F73" s="3"/>
      <x:c r="G73" s="3"/>
      <x:c r="H73" s="3"/>
      <x:c r="I73" s="3"/>
      <x:c r="J73" s="3"/>
      <x:c r="K73" s="3"/>
      <x:c r="L73" s="3"/>
      <x:c r="M73" s="3"/>
      <x:c r="N73" s="3"/>
      <x:c r="O73" s="3"/>
      <x:c r="P73" s="3"/>
      <x:c r="Q73" s="3"/>
      <x:c r="R73" s="3"/>
      <x:c r="S73" s="3"/>
      <x:c r="T73" s="3"/>
    </x:row>
    <x:row r="74" ht="27" customHeight="1">
      <x:c r="A74" s="2"/>
      <x:c r="B74" s="2"/>
      <x:c r="C74" s="61" t="str">
        <x:v>Activation milestones within the available capacity</x:v>
      </x:c>
      <x:c r="D74" s="15"/>
      <x:c r="E74" s="15"/>
      <x:c r="F74" s="15"/>
      <x:c r="G74" s="15"/>
      <x:c r="H74" s="15"/>
      <x:c r="I74" s="15"/>
      <x:c r="J74" s="15"/>
      <x:c r="K74" s="15"/>
      <x:c r="L74" s="15"/>
      <x:c r="M74" s="15"/>
      <x:c r="N74" s="15"/>
      <x:c r="O74" s="15"/>
      <x:c r="P74" s="15"/>
      <x:c r="Q74" s="15"/>
      <x:c r="R74" s="15"/>
      <x:c r="S74" s="15"/>
      <x:c r="T74" s="15"/>
    </x:row>
    <x:row r="75" ht="25" customHeight="1">
      <x:c r="A75" s="2"/>
      <x:c r="B75" s="2"/>
      <x:c r="C75" s="32" t="str">
        <x:v>Selected case customer milestone</x:v>
      </x:c>
      <x:c r="D75" s="52" t="n">
        <x:f>'Inputs'!D11</x:f>
        <x:v>0</x:v>
      </x:c>
      <x:c r="E75" s="52" t="n">
        <x:f>'Inputs'!E11</x:f>
        <x:v>25</x:v>
      </x:c>
      <x:c r="F75" s="52" t="n">
        <x:f>'Inputs'!E11</x:f>
        <x:v>25</x:v>
      </x:c>
      <x:c r="G75" s="52" t="n">
        <x:f>'Inputs'!E11</x:f>
        <x:v>25</x:v>
      </x:c>
      <x:c r="H75" s="52" t="n">
        <x:f>'Inputs'!E11</x:f>
        <x:v>25</x:v>
      </x:c>
      <x:c r="I75" s="52" t="n">
        <x:f>'Inputs'!F11</x:f>
        <x:v>97</x:v>
      </x:c>
      <x:c r="J75" s="52" t="n">
        <x:f>'Inputs'!F11</x:f>
        <x:v>97</x:v>
      </x:c>
      <x:c r="K75" s="52" t="n">
        <x:f>'Inputs'!F11</x:f>
        <x:v>97</x:v>
      </x:c>
      <x:c r="L75" s="52" t="n">
        <x:f>'Inputs'!F11</x:f>
        <x:v>97</x:v>
      </x:c>
      <x:c r="M75" s="52" t="n">
        <x:f>'Inputs'!G11</x:f>
        <x:v>432</x:v>
      </x:c>
      <x:c r="N75" s="52" t="n">
        <x:f>'Inputs'!G11</x:f>
        <x:v>432</x:v>
      </x:c>
      <x:c r="O75" s="52" t="n">
        <x:f>'Inputs'!G11</x:f>
        <x:v>432</x:v>
      </x:c>
      <x:c r="P75" s="52" t="n">
        <x:f>'Inputs'!G11</x:f>
        <x:v>432</x:v>
      </x:c>
      <x:c r="Q75" s="52" t="n">
        <x:f>'Inputs'!H11</x:f>
        <x:v>1292</x:v>
      </x:c>
      <x:c r="R75" s="52" t="n">
        <x:f>'Inputs'!H11</x:f>
        <x:v>1292</x:v>
      </x:c>
      <x:c r="S75" s="52" t="n">
        <x:f>'Inputs'!H11</x:f>
        <x:v>1292</x:v>
      </x:c>
      <x:c r="T75" s="52" t="n">
        <x:f>'Inputs'!H11</x:f>
        <x:v>1292</x:v>
      </x:c>
    </x:row>
    <x:row r="76" ht="25" customHeight="1">
      <x:c r="A76" s="2"/>
      <x:c r="B76" s="2"/>
      <x:c r="C76" s="32" t="str">
        <x:v>Annual new customers needed incl. churn</x:v>
      </x:c>
      <x:c r="D76" s="52" t="n">
        <x:f>MAX(0,D75-(0)*(1-'Inputs'!D27))/'Inputs'!D22</x:f>
        <x:v>0</x:v>
      </x:c>
      <x:c r="E76" s="52" t="n">
        <x:f>MAX(0,E75-('Revenue'!D7)*(1-'Inputs'!E27))/'Inputs'!E22</x:f>
        <x:v>31.25</x:v>
      </x:c>
      <x:c r="F76" s="52" t="n">
        <x:f>MAX(0,F75-('Revenue'!D7)*(1-'Inputs'!E27))/'Inputs'!E22</x:f>
        <x:v>31.25</x:v>
      </x:c>
      <x:c r="G76" s="52" t="n">
        <x:f>MAX(0,G75-('Revenue'!D7)*(1-'Inputs'!E27))/'Inputs'!E22</x:f>
        <x:v>31.25</x:v>
      </x:c>
      <x:c r="H76" s="52" t="n">
        <x:f>MAX(0,H75-('Revenue'!D7)*(1-'Inputs'!E27))/'Inputs'!E22</x:f>
        <x:v>31.25</x:v>
      </x:c>
      <x:c r="I76" s="52" t="n">
        <x:f>MAX(0,I75-('Revenue'!H7)*(1-'Inputs'!F27))/'Inputs'!F22</x:f>
        <x:v>93.125</x:v>
      </x:c>
      <x:c r="J76" s="52" t="n">
        <x:f>MAX(0,J75-('Revenue'!H7)*(1-'Inputs'!F27))/'Inputs'!F22</x:f>
        <x:v>93.125</x:v>
      </x:c>
      <x:c r="K76" s="52" t="n">
        <x:f>MAX(0,K75-('Revenue'!H7)*(1-'Inputs'!F27))/'Inputs'!F22</x:f>
        <x:v>93.125</x:v>
      </x:c>
      <x:c r="L76" s="52" t="n">
        <x:f>MAX(0,L75-('Revenue'!H7)*(1-'Inputs'!F27))/'Inputs'!F22</x:f>
        <x:v>93.125</x:v>
      </x:c>
      <x:c r="M76" s="52" t="n">
        <x:f>MAX(0,M75-('Revenue'!L7)*(1-'Inputs'!G27))/'Inputs'!G22</x:f>
        <x:v>428.45</x:v>
      </x:c>
      <x:c r="N76" s="52" t="n">
        <x:f>MAX(0,N75-('Revenue'!L7)*(1-'Inputs'!G27))/'Inputs'!G22</x:f>
        <x:v>428.45</x:v>
      </x:c>
      <x:c r="O76" s="52" t="n">
        <x:f>MAX(0,O75-('Revenue'!L7)*(1-'Inputs'!G27))/'Inputs'!G22</x:f>
        <x:v>428.45</x:v>
      </x:c>
      <x:c r="P76" s="52" t="n">
        <x:f>MAX(0,P75-('Revenue'!L7)*(1-'Inputs'!G27))/'Inputs'!G22</x:f>
        <x:v>428.45</x:v>
      </x:c>
      <x:c r="Q76" s="52" t="n">
        <x:f>MAX(0,Q75-('Revenue'!P7)*(1-'Inputs'!H27))/'Inputs'!H22</x:f>
        <x:v>1118.7246874999998</x:v>
      </x:c>
      <x:c r="R76" s="52" t="n">
        <x:f>MAX(0,R75-('Revenue'!P7)*(1-'Inputs'!H27))/'Inputs'!H22</x:f>
        <x:v>1118.7246874999998</x:v>
      </x:c>
      <x:c r="S76" s="52" t="n">
        <x:f>MAX(0,S75-('Revenue'!P7)*(1-'Inputs'!H27))/'Inputs'!H22</x:f>
        <x:v>1118.7246874999998</x:v>
      </x:c>
      <x:c r="T76" s="52" t="n">
        <x:f>MAX(0,T75-('Revenue'!P7)*(1-'Inputs'!H27))/'Inputs'!H22</x:f>
        <x:v>1118.7246874999998</x:v>
      </x:c>
    </x:row>
    <x:row r="77" ht="25" customHeight="1">
      <x:c r="A77" s="2"/>
      <x:c r="B77" s="2"/>
      <x:c r="C77" s="32" t="str">
        <x:v>Cumulative annual activation pacing</x:v>
      </x:c>
      <x:c r="D77" s="23" t="n">
        <x:f>1</x:f>
        <x:v>1</x:v>
      </x:c>
      <x:c r="E77" s="58" t="n">
        <x:f>'Inputs'!E16</x:f>
        <x:v>0.2</x:v>
      </x:c>
      <x:c r="F77" s="58" t="n">
        <x:f>'Inputs'!E18</x:f>
        <x:v>0.45</x:v>
      </x:c>
      <x:c r="G77" s="58" t="n">
        <x:f>'Inputs'!E20</x:f>
        <x:v>0.7</x:v>
      </x:c>
      <x:c r="H77" s="23" t="n">
        <x:f>1</x:f>
        <x:v>1</x:v>
      </x:c>
      <x:c r="I77" s="58" t="n">
        <x:f>'Inputs'!F16</x:f>
        <x:v>0.2</x:v>
      </x:c>
      <x:c r="J77" s="58" t="n">
        <x:f>'Inputs'!F18</x:f>
        <x:v>0.45</x:v>
      </x:c>
      <x:c r="K77" s="58" t="n">
        <x:f>'Inputs'!F20</x:f>
        <x:v>0.7</x:v>
      </x:c>
      <x:c r="L77" s="23" t="n">
        <x:f>1</x:f>
        <x:v>1</x:v>
      </x:c>
      <x:c r="M77" s="58" t="n">
        <x:f>'Inputs'!G16</x:f>
        <x:v>0.2</x:v>
      </x:c>
      <x:c r="N77" s="58" t="n">
        <x:f>'Inputs'!G18</x:f>
        <x:v>0.45</x:v>
      </x:c>
      <x:c r="O77" s="58" t="n">
        <x:f>'Inputs'!G20</x:f>
        <x:v>0.7</x:v>
      </x:c>
      <x:c r="P77" s="23" t="n">
        <x:f>1</x:f>
        <x:v>1</x:v>
      </x:c>
      <x:c r="Q77" s="58" t="n">
        <x:f>'Inputs'!H16</x:f>
        <x:v>0.25</x:v>
      </x:c>
      <x:c r="R77" s="58" t="n">
        <x:f>'Inputs'!H18</x:f>
        <x:v>0.5</x:v>
      </x:c>
      <x:c r="S77" s="58" t="n">
        <x:f>'Inputs'!H20</x:f>
        <x:v>0.75</x:v>
      </x:c>
      <x:c r="T77" s="23" t="n">
        <x:f>1</x:f>
        <x:v>1</x:v>
      </x:c>
    </x:row>
    <x:row r="78" ht="25" customHeight="1">
      <x:c r="A78" s="2"/>
      <x:c r="B78" s="2"/>
      <x:c r="C78" s="32" t="str">
        <x:v>Remaining activations to current milestone</x:v>
      </x:c>
      <x:c r="D78" s="3" t="n">
        <x:f>MAX(0,D76*D77-0)</x:f>
        <x:v>0</x:v>
      </x:c>
      <x:c r="E78" s="3" t="n">
        <x:f>MAX(0,E76*E77-0)</x:f>
        <x:v>6.25</x:v>
      </x:c>
      <x:c r="F78" s="3" t="n">
        <x:f>MAX(0,F76*F77-SUM(E25:E25))</x:f>
        <x:v>9.0625</x:v>
      </x:c>
      <x:c r="G78" s="3" t="n">
        <x:f>MAX(0,G76*G77-SUM(E25:F25))</x:f>
        <x:v>7.8125</x:v>
      </x:c>
      <x:c r="H78" s="3" t="n">
        <x:f>MAX(0,H76*H77-SUM(E25:G25))</x:f>
        <x:v>9.375</x:v>
      </x:c>
      <x:c r="I78" s="3" t="n">
        <x:f>MAX(0,I76*I77-0)</x:f>
        <x:v>18.625</x:v>
      </x:c>
      <x:c r="J78" s="3" t="n">
        <x:f>MAX(0,J76*J77-SUM(I25:I25))</x:f>
        <x:v>28.7734375</x:v>
      </x:c>
      <x:c r="K78" s="3" t="n">
        <x:f>MAX(0,K76*K77-SUM(I25:J25))</x:f>
        <x:v>32.56015625</x:v>
      </x:c>
      <x:c r="L78" s="3" t="n">
        <x:f>MAX(0,L76*L77-SUM(I25:K25))</x:f>
        <x:v>36.540625</x:v>
      </x:c>
      <x:c r="M78" s="3" t="n">
        <x:f>MAX(0,M76*M77-0)</x:f>
        <x:v>85.69</x:v>
      </x:c>
      <x:c r="N78" s="3" t="n">
        <x:f>MAX(0,N76*N77-SUM(M25:M25))</x:f>
        <x:v>135.4353125</x:v>
      </x:c>
      <x:c r="O78" s="3" t="n">
        <x:f>MAX(0,O76*O77-SUM(M25:N25))</x:f>
        <x:v>147.26031249999997</x:v>
      </x:c>
      <x:c r="P78" s="3" t="n">
        <x:f>MAX(0,P76*P77-SUM(M25:O25))</x:f>
        <x:v>159.98281249999997</x:v>
      </x:c>
      <x:c r="Q78" s="3" t="n">
        <x:f>MAX(0,Q76*Q77-0)</x:f>
        <x:v>279.68117187499996</x:v>
      </x:c>
      <x:c r="R78" s="3" t="n">
        <x:f>MAX(0,R76*R77-SUM(Q25:Q25))</x:f>
        <x:v>350.77484374999995</x:v>
      </x:c>
      <x:c r="S78" s="3" t="n">
        <x:f>MAX(0,S76*S77-SUM(Q25:R25))</x:f>
        <x:v>333.7075781249998</x:v>
      </x:c>
      <x:c r="T78" s="3" t="n">
        <x:f>MAX(0,T76*T77-SUM(Q25:S25))</x:f>
        <x:v>279.681171875</x:v>
      </x:c>
    </x:row>
    <x:row r="79" ht="25" customHeight="1">
      <x:c r="A79" s="2"/>
      <x:c r="B79" s="2"/>
      <x:c r="C79" s="32" t="str">
        <x:v>Signed and deliverable above current pacing</x:v>
      </x:c>
      <x:c r="D79" s="3" t="n">
        <x:f>MAX(0,MIN(D22,D24)-D25)</x:f>
        <x:v>0</x:v>
      </x:c>
      <x:c r="E79" s="3" t="n">
        <x:f>MAX(0,MIN(E22,E24)-E25)</x:f>
        <x:v>0</x:v>
      </x:c>
      <x:c r="F79" s="3" t="n">
        <x:f>MAX(0,MIN(F22,F24)-F25)</x:f>
        <x:v>8.651102187286398</x:v>
      </x:c>
      <x:c r="G79" s="3" t="n">
        <x:f>MAX(0,MIN(G22,G24)-G25)</x:f>
        <x:v>10.0234375</x:v>
      </x:c>
      <x:c r="H79" s="3" t="n">
        <x:f>MAX(0,MIN(H22,H24)-H25)</x:f>
        <x:v>5.421875</x:v>
      </x:c>
      <x:c r="I79" s="3" t="n">
        <x:f>MAX(0,MIN(I22,I24)-I25)</x:f>
        <x:v>0</x:v>
      </x:c>
      <x:c r="J79" s="3" t="n">
        <x:f>MAX(0,MIN(J22,J24)-J25)</x:f>
        <x:v>0</x:v>
      </x:c>
      <x:c r="K79" s="3" t="n">
        <x:f>MAX(0,MIN(K22,K24)-K25)</x:f>
        <x:v>0</x:v>
      </x:c>
      <x:c r="L79" s="3" t="n">
        <x:f>MAX(0,MIN(L22,L24)-L25)</x:f>
        <x:v>2.7476562500000057</x:v>
      </x:c>
      <x:c r="M79" s="3" t="n">
        <x:f>MAX(0,MIN(M22,M24)-M25)</x:f>
        <x:v>0</x:v>
      </x:c>
      <x:c r="N79" s="3" t="n">
        <x:f>MAX(0,MIN(N22,N24)-N25)</x:f>
        <x:v>0</x:v>
      </x:c>
      <x:c r="O79" s="3" t="n">
        <x:f>MAX(0,MIN(O22,O24)-O25)</x:f>
        <x:v>0</x:v>
      </x:c>
      <x:c r="P79" s="3" t="n">
        <x:f>MAX(0,MIN(P22,P24)-P25)</x:f>
        <x:v>0</x:v>
      </x:c>
      <x:c r="Q79" s="3" t="n">
        <x:f>MAX(0,MIN(Q22,Q24)-Q25)</x:f>
        <x:v>0</x:v>
      </x:c>
      <x:c r="R79" s="3" t="n">
        <x:f>MAX(0,MIN(R22,R24)-R25)</x:f>
        <x:v>0</x:v>
      </x:c>
      <x:c r="S79" s="3" t="n">
        <x:f>MAX(0,MIN(S22,S24)-S25)</x:f>
        <x:v>17.23460937500016</x:v>
      </x:c>
      <x:c r="T79" s="3" t="n">
        <x:f>MAX(0,MIN(T22,T24)-T25)</x:f>
        <x:v>88.69406250000014</x:v>
      </x:c>
    </x:row>
    <x:row r="80" ht="25" customHeight="1">
      <x:c r="A80" s="2"/>
      <x:c r="B80" s="2"/>
      <x:c r="C80" s="32"/>
      <x:c r="D80" s="3"/>
      <x:c r="E80" s="3"/>
      <x:c r="F80" s="3"/>
      <x:c r="G80" s="3"/>
      <x:c r="H80" s="3"/>
      <x:c r="I80" s="3"/>
      <x:c r="J80" s="3"/>
      <x:c r="K80" s="3"/>
      <x:c r="L80" s="3"/>
      <x:c r="M80" s="3"/>
      <x:c r="N80" s="3"/>
      <x:c r="O80" s="3"/>
      <x:c r="P80" s="3"/>
      <x:c r="Q80" s="3"/>
      <x:c r="R80" s="3"/>
      <x:c r="S80" s="3"/>
      <x:c r="T80" s="3"/>
    </x:row>
    <x:row r="81" ht="25" customHeight="1">
      <x:c r="A81" s="2"/>
      <x:c r="B81" s="2"/>
      <x:c r="C81" s="32"/>
      <x:c r="D81" s="3"/>
      <x:c r="E81" s="3"/>
      <x:c r="F81" s="3"/>
      <x:c r="G81" s="3"/>
      <x:c r="H81" s="3"/>
      <x:c r="I81" s="3"/>
      <x:c r="J81" s="3"/>
      <x:c r="K81" s="3"/>
      <x:c r="L81" s="3"/>
      <x:c r="M81" s="3"/>
      <x:c r="N81" s="3"/>
      <x:c r="O81" s="3"/>
      <x:c r="P81" s="3"/>
      <x:c r="Q81" s="3"/>
      <x:c r="R81" s="3"/>
      <x:c r="S81" s="3"/>
      <x:c r="T81" s="3"/>
    </x:row>
    <x:row r="82" ht="42" customHeight="1">
      <x:c r="A82" s="2"/>
      <x:c r="B82" s="2"/>
      <x:c r="C82" s="36" t="str">
        <x:v>Mapping delivery is the minimum of eligible contracts, delivery capacity and the selected milestone pace. Unserved contracts retain their price in backlog. Q4 2026 design partners activate after the global delivery lag.</x:v>
      </x:c>
      <x:c r="D82" s="18"/>
      <x:c r="E82" s="18"/>
      <x:c r="F82" s="18"/>
      <x:c r="G82" s="18"/>
      <x:c r="H82" s="18"/>
      <x:c r="I82" s="18"/>
      <x:c r="J82" s="18"/>
      <x:c r="K82" s="18"/>
      <x:c r="L82" s="18"/>
      <x:c r="M82" s="3"/>
      <x:c r="N82" s="3"/>
      <x:c r="O82" s="3"/>
      <x:c r="P82" s="3"/>
      <x:c r="Q82" s="3"/>
      <x:c r="R82" s="3"/>
      <x:c r="S82" s="3"/>
      <x:c r="T82" s="3"/>
    </x:row>
    <x:row r="83" ht="25" customHeight="1">
      <x:c r="A83" s="2"/>
      <x:c r="B83" s="2"/>
      <x:c r="C83" s="32"/>
      <x:c r="D83" s="3"/>
      <x:c r="E83" s="3"/>
      <x:c r="F83" s="3"/>
      <x:c r="G83" s="3"/>
      <x:c r="H83" s="3"/>
      <x:c r="I83" s="3"/>
      <x:c r="J83" s="3"/>
      <x:c r="K83" s="3"/>
      <x:c r="L83" s="3"/>
      <x:c r="M83" s="3"/>
      <x:c r="N83" s="3"/>
      <x:c r="O83" s="3"/>
      <x:c r="P83" s="3"/>
      <x:c r="Q83" s="3"/>
      <x:c r="R83" s="3"/>
      <x:c r="S83" s="3"/>
      <x:c r="T83" s="3"/>
    </x:row>
    <x:row r="84" ht="42" customHeight="1">
      <x:c r="A84" s="2"/>
      <x:c r="B84" s="2"/>
      <x:c r="C84" s="36" t="str">
        <x:v>Prices are weighted within each quarterly contract pool. New customer sizes follow the activation-year mix. Higher first-year prices may change win rate and procurement time; these drivers remain editable.</x:v>
      </x:c>
      <x:c r="D84" s="18"/>
      <x:c r="E84" s="18"/>
      <x:c r="F84" s="18"/>
      <x:c r="G84" s="18"/>
      <x:c r="H84" s="18"/>
      <x:c r="I84" s="18"/>
      <x:c r="J84" s="18"/>
      <x:c r="K84" s="18"/>
      <x:c r="L84" s="18"/>
      <x:c r="M84" s="3"/>
      <x:c r="N84" s="3"/>
      <x:c r="O84" s="3"/>
      <x:c r="P84" s="3"/>
      <x:c r="Q84" s="3"/>
      <x:c r="R84" s="3"/>
      <x:c r="S84" s="3"/>
      <x:c r="T84" s="3"/>
    </x:row>
    <x:row r="85" ht="25" customHeight="1">
      <x:c r="A85" s="2"/>
      <x:c r="B85" s="2"/>
      <x:c r="C85" s="32"/>
      <x:c r="D85" s="3"/>
      <x:c r="E85" s="3"/>
      <x:c r="F85" s="3"/>
      <x:c r="G85" s="3"/>
      <x:c r="H85" s="3"/>
      <x:c r="I85" s="3"/>
      <x:c r="J85" s="3"/>
      <x:c r="K85" s="3"/>
      <x:c r="L85" s="3"/>
      <x:c r="M85" s="3"/>
      <x:c r="N85" s="3"/>
      <x:c r="O85" s="3"/>
      <x:c r="P85" s="3"/>
      <x:c r="Q85" s="3"/>
      <x:c r="R85" s="3"/>
      <x:c r="S85" s="3"/>
      <x:c r="T85" s="3"/>
    </x:row>
    <x:row r="86" ht="25" customHeight="1">
      <x:c r="A86" s="2"/>
      <x:c r="B86" s="2"/>
      <x:c r="C86" s="32"/>
      <x:c r="D86" s="3"/>
      <x:c r="E86" s="3"/>
      <x:c r="F86" s="3"/>
      <x:c r="G86" s="3"/>
      <x:c r="H86" s="3"/>
      <x:c r="I86" s="3"/>
      <x:c r="J86" s="3"/>
      <x:c r="K86" s="3"/>
      <x:c r="L86" s="3"/>
      <x:c r="M86" s="3"/>
      <x:c r="N86" s="3"/>
      <x:c r="O86" s="3"/>
      <x:c r="P86" s="3"/>
      <x:c r="Q86" s="3"/>
      <x:c r="R86" s="3"/>
      <x:c r="S86" s="3"/>
      <x:c r="T86" s="3"/>
    </x:row>
    <x:row r="87" ht="25" customHeight="1">
      <x:c r="A87" s="2"/>
      <x:c r="B87" s="2"/>
      <x:c r="C87" s="32"/>
      <x:c r="D87" s="3"/>
      <x:c r="E87" s="3"/>
      <x:c r="F87" s="3"/>
      <x:c r="G87" s="3"/>
      <x:c r="H87" s="3"/>
      <x:c r="I87" s="3"/>
      <x:c r="J87" s="3"/>
      <x:c r="K87" s="3"/>
      <x:c r="L87" s="3"/>
      <x:c r="M87" s="3"/>
      <x:c r="N87" s="3"/>
      <x:c r="O87" s="3"/>
      <x:c r="P87" s="3"/>
      <x:c r="Q87" s="3"/>
      <x:c r="R87" s="3"/>
      <x:c r="S87" s="3"/>
      <x:c r="T87" s="3"/>
    </x:row>
    <x:row r="88" ht="25" customHeight="1">
      <x:c r="A88" s="2"/>
      <x:c r="B88" s="2"/>
      <x:c r="C88" s="32"/>
      <x:c r="D88" s="3"/>
      <x:c r="E88" s="3"/>
      <x:c r="F88" s="3"/>
      <x:c r="G88" s="3"/>
      <x:c r="H88" s="3"/>
      <x:c r="I88" s="3"/>
      <x:c r="J88" s="3"/>
      <x:c r="K88" s="3"/>
      <x:c r="L88" s="3"/>
      <x:c r="M88" s="3"/>
      <x:c r="N88" s="3"/>
      <x:c r="O88" s="3"/>
      <x:c r="P88" s="3"/>
      <x:c r="Q88" s="3"/>
      <x:c r="R88" s="3"/>
      <x:c r="S88" s="3"/>
      <x:c r="T88" s="3"/>
    </x:row>
    <x:row r="89" ht="25" customHeight="1">
      <x:c r="A89" s="2"/>
      <x:c r="B89" s="2"/>
      <x:c r="C89" s="32"/>
      <x:c r="D89" s="3"/>
      <x:c r="E89" s="3"/>
      <x:c r="F89" s="3"/>
      <x:c r="G89" s="3"/>
      <x:c r="H89" s="3"/>
      <x:c r="I89" s="3"/>
      <x:c r="J89" s="3"/>
      <x:c r="K89" s="3"/>
      <x:c r="L89" s="3"/>
      <x:c r="M89" s="3"/>
      <x:c r="N89" s="3"/>
      <x:c r="O89" s="3"/>
      <x:c r="P89" s="3"/>
      <x:c r="Q89" s="3"/>
      <x:c r="R89" s="3"/>
      <x:c r="S89" s="3"/>
      <x:c r="T89" s="3"/>
    </x:row>
    <x:row r="90" ht="25" customHeight="1">
      <x:c r="A90" s="2"/>
      <x:c r="B90" s="2"/>
      <x:c r="C90" s="32"/>
      <x:c r="D90" s="3"/>
      <x:c r="E90" s="3"/>
      <x:c r="F90" s="3"/>
      <x:c r="G90" s="3"/>
      <x:c r="H90" s="3"/>
      <x:c r="I90" s="3"/>
      <x:c r="J90" s="3"/>
      <x:c r="K90" s="3"/>
      <x:c r="L90" s="3"/>
      <x:c r="M90" s="3"/>
      <x:c r="N90" s="3"/>
      <x:c r="O90" s="3"/>
      <x:c r="P90" s="3"/>
      <x:c r="Q90" s="3"/>
      <x:c r="R90" s="3"/>
      <x:c r="S90" s="3"/>
      <x:c r="T90" s="3"/>
    </x:row>
    <x:row r="91" ht="25" customHeight="1">
      <x:c r="A91" s="2"/>
      <x:c r="B91" s="2"/>
      <x:c r="C91" s="32"/>
      <x:c r="D91" s="3"/>
      <x:c r="E91" s="3"/>
      <x:c r="F91" s="3"/>
      <x:c r="G91" s="3"/>
      <x:c r="H91" s="3"/>
      <x:c r="I91" s="3"/>
      <x:c r="J91" s="3"/>
      <x:c r="K91" s="3"/>
      <x:c r="L91" s="3"/>
      <x:c r="M91" s="3"/>
      <x:c r="N91" s="3"/>
      <x:c r="O91" s="3"/>
      <x:c r="P91" s="3"/>
      <x:c r="Q91" s="3"/>
      <x:c r="R91" s="3"/>
      <x:c r="S91" s="3"/>
      <x:c r="T91" s="3"/>
    </x:row>
    <x:row r="92" ht="25" customHeight="1">
      <x:c r="A92" s="2"/>
      <x:c r="B92" s="2"/>
      <x:c r="C92" s="32"/>
      <x:c r="D92" s="3"/>
      <x:c r="E92" s="3"/>
      <x:c r="F92" s="3"/>
      <x:c r="G92" s="3"/>
      <x:c r="H92" s="3"/>
      <x:c r="I92" s="3"/>
      <x:c r="J92" s="3"/>
      <x:c r="K92" s="3"/>
      <x:c r="L92" s="3"/>
      <x:c r="M92" s="3"/>
      <x:c r="N92" s="3"/>
      <x:c r="O92" s="3"/>
      <x:c r="P92" s="3"/>
      <x:c r="Q92" s="3"/>
      <x:c r="R92" s="3"/>
      <x:c r="S92" s="3"/>
      <x:c r="T92" s="3"/>
    </x:row>
    <x:row r="93" ht="25" customHeight="1">
      <x:c r="A93" s="2"/>
      <x:c r="B93" s="2"/>
      <x:c r="C93" s="32"/>
      <x:c r="D93" s="3"/>
      <x:c r="E93" s="3"/>
      <x:c r="F93" s="3"/>
      <x:c r="G93" s="3"/>
      <x:c r="H93" s="3"/>
      <x:c r="I93" s="3"/>
      <x:c r="J93" s="3"/>
      <x:c r="K93" s="3"/>
      <x:c r="L93" s="3"/>
      <x:c r="M93" s="3"/>
      <x:c r="N93" s="3"/>
      <x:c r="O93" s="3"/>
      <x:c r="P93" s="3"/>
      <x:c r="Q93" s="3"/>
      <x:c r="R93" s="3"/>
      <x:c r="S93" s="3"/>
      <x:c r="T93" s="3"/>
    </x:row>
    <x:row r="94" ht="25" customHeight="1">
      <x:c r="A94" s="2"/>
      <x:c r="B94" s="2"/>
      <x:c r="C94" s="32"/>
      <x:c r="D94" s="3"/>
      <x:c r="E94" s="3"/>
      <x:c r="F94" s="3"/>
      <x:c r="G94" s="3"/>
      <x:c r="H94" s="3"/>
      <x:c r="I94" s="3"/>
      <x:c r="J94" s="3"/>
      <x:c r="K94" s="3"/>
      <x:c r="L94" s="3"/>
      <x:c r="M94" s="3"/>
      <x:c r="N94" s="3"/>
      <x:c r="O94" s="3"/>
      <x:c r="P94" s="3"/>
      <x:c r="Q94" s="3"/>
      <x:c r="R94" s="3"/>
      <x:c r="S94" s="3"/>
      <x:c r="T94" s="3"/>
    </x:row>
    <x:row r="95" ht="25" customHeight="1">
      <x:c r="A95" s="2"/>
      <x:c r="B95" s="2"/>
      <x:c r="C95" s="32"/>
      <x:c r="D95" s="3"/>
      <x:c r="E95" s="3"/>
      <x:c r="F95" s="3"/>
      <x:c r="G95" s="3"/>
      <x:c r="H95" s="3"/>
      <x:c r="I95" s="3"/>
      <x:c r="J95" s="3"/>
      <x:c r="K95" s="3"/>
      <x:c r="L95" s="3"/>
      <x:c r="M95" s="3"/>
      <x:c r="N95" s="3"/>
      <x:c r="O95" s="3"/>
      <x:c r="P95" s="3"/>
      <x:c r="Q95" s="3"/>
      <x:c r="R95" s="3"/>
      <x:c r="S95" s="3"/>
      <x:c r="T95" s="3"/>
    </x:row>
    <x:row r="96" ht="25" customHeight="1">
      <x:c r="A96" s="2"/>
      <x:c r="B96" s="2"/>
      <x:c r="C96" s="32"/>
      <x:c r="D96" s="3"/>
      <x:c r="E96" s="3"/>
      <x:c r="F96" s="3"/>
      <x:c r="G96" s="3"/>
      <x:c r="H96" s="3"/>
      <x:c r="I96" s="3"/>
      <x:c r="J96" s="3"/>
      <x:c r="K96" s="3"/>
      <x:c r="L96" s="3"/>
      <x:c r="M96" s="3"/>
      <x:c r="N96" s="3"/>
      <x:c r="O96" s="3"/>
      <x:c r="P96" s="3"/>
      <x:c r="Q96" s="3"/>
      <x:c r="R96" s="3"/>
      <x:c r="S96" s="3"/>
      <x:c r="T96" s="3"/>
    </x:row>
    <x:row r="97" ht="25" customHeight="1">
      <x:c r="A97" s="2"/>
      <x:c r="B97" s="2"/>
      <x:c r="C97" s="32"/>
      <x:c r="D97" s="3"/>
      <x:c r="E97" s="3"/>
      <x:c r="F97" s="3"/>
      <x:c r="G97" s="3"/>
      <x:c r="H97" s="3"/>
      <x:c r="I97" s="3"/>
      <x:c r="J97" s="3"/>
      <x:c r="K97" s="3"/>
      <x:c r="L97" s="3"/>
      <x:c r="M97" s="3"/>
      <x:c r="N97" s="3"/>
      <x:c r="O97" s="3"/>
      <x:c r="P97" s="3"/>
      <x:c r="Q97" s="3"/>
      <x:c r="R97" s="3"/>
      <x:c r="S97" s="3"/>
      <x:c r="T97" s="3"/>
    </x:row>
    <x:row r="98" ht="25" customHeight="1">
      <x:c r="A98" s="2"/>
      <x:c r="B98" s="2"/>
      <x:c r="C98" s="32"/>
      <x:c r="D98" s="3"/>
      <x:c r="E98" s="3"/>
      <x:c r="F98" s="3"/>
      <x:c r="G98" s="3"/>
      <x:c r="H98" s="3"/>
      <x:c r="I98" s="3"/>
      <x:c r="J98" s="3"/>
      <x:c r="K98" s="3"/>
      <x:c r="L98" s="3"/>
      <x:c r="M98" s="3"/>
      <x:c r="N98" s="3"/>
      <x:c r="O98" s="3"/>
      <x:c r="P98" s="3"/>
      <x:c r="Q98" s="3"/>
      <x:c r="R98" s="3"/>
      <x:c r="S98" s="3"/>
      <x:c r="T98" s="3"/>
    </x:row>
    <x:row r="99" ht="25" customHeight="1">
      <x:c r="A99" s="2"/>
      <x:c r="B99" s="2"/>
      <x:c r="C99" s="32"/>
      <x:c r="D99" s="3"/>
      <x:c r="E99" s="3"/>
      <x:c r="F99" s="3"/>
      <x:c r="G99" s="3"/>
      <x:c r="H99" s="3"/>
      <x:c r="I99" s="3"/>
      <x:c r="J99" s="3"/>
      <x:c r="K99" s="3"/>
      <x:c r="L99" s="3"/>
      <x:c r="M99" s="3"/>
      <x:c r="N99" s="3"/>
      <x:c r="O99" s="3"/>
      <x:c r="P99" s="3"/>
      <x:c r="Q99" s="3"/>
      <x:c r="R99" s="3"/>
      <x:c r="S99" s="3"/>
      <x:c r="T99" s="3"/>
    </x:row>
    <x:row r="100" ht="25" customHeight="1">
      <x:c r="A100" s="2"/>
      <x:c r="B100" s="2"/>
      <x:c r="C100" s="32"/>
      <x:c r="D100" s="3"/>
      <x:c r="E100" s="3"/>
      <x:c r="F100" s="3"/>
      <x:c r="G100" s="3"/>
      <x:c r="H100" s="3"/>
      <x:c r="I100" s="3"/>
      <x:c r="J100" s="3"/>
      <x:c r="K100" s="3"/>
      <x:c r="L100" s="3"/>
      <x:c r="M100" s="3"/>
      <x:c r="N100" s="3"/>
      <x:c r="O100" s="3"/>
      <x:c r="P100" s="3"/>
      <x:c r="Q100" s="3"/>
      <x:c r="R100" s="3"/>
      <x:c r="S100" s="3"/>
      <x:c r="T100" s="3"/>
    </x:row>
    <x:row r="101" ht="25" customHeight="1">
      <x:c r="A101" s="2"/>
      <x:c r="B101" s="2"/>
      <x:c r="C101" s="32"/>
      <x:c r="D101" s="3"/>
      <x:c r="E101" s="3"/>
      <x:c r="F101" s="3"/>
      <x:c r="G101" s="3"/>
      <x:c r="H101" s="3"/>
      <x:c r="I101" s="3"/>
      <x:c r="J101" s="3"/>
      <x:c r="K101" s="3"/>
      <x:c r="L101" s="3"/>
      <x:c r="M101" s="3"/>
      <x:c r="N101" s="3"/>
      <x:c r="O101" s="3"/>
      <x:c r="P101" s="3"/>
      <x:c r="Q101" s="3"/>
      <x:c r="R101" s="3"/>
      <x:c r="S101" s="3"/>
      <x:c r="T101" s="3"/>
    </x:row>
    <x:row r="102" ht="25" customHeight="1">
      <x:c r="A102" s="2"/>
      <x:c r="B102" s="2"/>
      <x:c r="C102" s="32"/>
      <x:c r="D102" s="3"/>
      <x:c r="E102" s="3"/>
      <x:c r="F102" s="3"/>
      <x:c r="G102" s="3"/>
      <x:c r="H102" s="3"/>
      <x:c r="I102" s="3"/>
      <x:c r="J102" s="3"/>
      <x:c r="K102" s="3"/>
      <x:c r="L102" s="3"/>
      <x:c r="M102" s="3"/>
      <x:c r="N102" s="3"/>
      <x:c r="O102" s="3"/>
      <x:c r="P102" s="3"/>
      <x:c r="Q102" s="3"/>
      <x:c r="R102" s="3"/>
      <x:c r="S102" s="3"/>
      <x:c r="T102" s="3"/>
    </x:row>
    <x:row r="103" ht="25" customHeight="1">
      <x:c r="A103" s="2"/>
      <x:c r="B103" s="2"/>
      <x:c r="C103" s="32"/>
      <x:c r="D103" s="3"/>
      <x:c r="E103" s="3"/>
      <x:c r="F103" s="3"/>
      <x:c r="G103" s="3"/>
      <x:c r="H103" s="3"/>
      <x:c r="I103" s="3"/>
      <x:c r="J103" s="3"/>
      <x:c r="K103" s="3"/>
      <x:c r="L103" s="3"/>
      <x:c r="M103" s="3"/>
      <x:c r="N103" s="3"/>
      <x:c r="O103" s="3"/>
      <x:c r="P103" s="3"/>
      <x:c r="Q103" s="3"/>
      <x:c r="R103" s="3"/>
      <x:c r="S103" s="3"/>
      <x:c r="T103" s="3"/>
    </x:row>
    <x:row r="104" ht="25" customHeight="1">
      <x:c r="A104" s="2"/>
      <x:c r="B104" s="2"/>
      <x:c r="C104" s="32"/>
      <x:c r="D104" s="3"/>
      <x:c r="E104" s="3"/>
      <x:c r="F104" s="3"/>
      <x:c r="G104" s="3"/>
      <x:c r="H104" s="3"/>
      <x:c r="I104" s="3"/>
      <x:c r="J104" s="3"/>
      <x:c r="K104" s="3"/>
      <x:c r="L104" s="3"/>
      <x:c r="M104" s="3"/>
      <x:c r="N104" s="3"/>
      <x:c r="O104" s="3"/>
      <x:c r="P104" s="3"/>
      <x:c r="Q104" s="3"/>
      <x:c r="R104" s="3"/>
      <x:c r="S104" s="3"/>
      <x:c r="T104" s="3"/>
    </x:row>
    <x:row r="105" ht="25" customHeight="1">
      <x:c r="A105" s="2"/>
      <x:c r="B105" s="2"/>
      <x:c r="C105" s="32"/>
      <x:c r="D105" s="3"/>
      <x:c r="E105" s="3"/>
      <x:c r="F105" s="3"/>
      <x:c r="G105" s="3"/>
      <x:c r="H105" s="3"/>
      <x:c r="I105" s="3"/>
      <x:c r="J105" s="3"/>
      <x:c r="K105" s="3"/>
      <x:c r="L105" s="3"/>
      <x:c r="M105" s="3"/>
      <x:c r="N105" s="3"/>
      <x:c r="O105" s="3"/>
      <x:c r="P105" s="3"/>
      <x:c r="Q105" s="3"/>
      <x:c r="R105" s="3"/>
      <x:c r="S105" s="3"/>
      <x:c r="T105" s="3"/>
    </x:row>
    <x:row r="106" ht="25" customHeight="1">
      <x:c r="A106" s="2"/>
      <x:c r="B106" s="2"/>
      <x:c r="C106" s="32"/>
      <x:c r="D106" s="3"/>
      <x:c r="E106" s="3"/>
      <x:c r="F106" s="3"/>
      <x:c r="G106" s="3"/>
      <x:c r="H106" s="3"/>
      <x:c r="I106" s="3"/>
      <x:c r="J106" s="3"/>
      <x:c r="K106" s="3"/>
      <x:c r="L106" s="3"/>
      <x:c r="M106" s="3"/>
      <x:c r="N106" s="3"/>
      <x:c r="O106" s="3"/>
      <x:c r="P106" s="3"/>
      <x:c r="Q106" s="3"/>
      <x:c r="R106" s="3"/>
      <x:c r="S106" s="3"/>
      <x:c r="T106" s="3"/>
    </x:row>
    <x:row r="107" ht="25" customHeight="1">
      <x:c r="A107" s="2"/>
      <x:c r="B107" s="2"/>
      <x:c r="C107" s="32"/>
      <x:c r="D107" s="3"/>
      <x:c r="E107" s="3"/>
      <x:c r="F107" s="3"/>
      <x:c r="G107" s="3"/>
      <x:c r="H107" s="3"/>
      <x:c r="I107" s="3"/>
      <x:c r="J107" s="3"/>
      <x:c r="K107" s="3"/>
      <x:c r="L107" s="3"/>
      <x:c r="M107" s="3"/>
      <x:c r="N107" s="3"/>
      <x:c r="O107" s="3"/>
      <x:c r="P107" s="3"/>
      <x:c r="Q107" s="3"/>
      <x:c r="R107" s="3"/>
      <x:c r="S107" s="3"/>
      <x:c r="T107" s="3"/>
    </x:row>
    <x:row r="108" ht="25" customHeight="1">
      <x:c r="A108" s="2"/>
      <x:c r="B108" s="2"/>
      <x:c r="C108" s="32"/>
      <x:c r="D108" s="3"/>
      <x:c r="E108" s="3"/>
      <x:c r="F108" s="3"/>
      <x:c r="G108" s="3"/>
      <x:c r="H108" s="3"/>
      <x:c r="I108" s="3"/>
      <x:c r="J108" s="3"/>
      <x:c r="K108" s="3"/>
      <x:c r="L108" s="3"/>
      <x:c r="M108" s="3"/>
      <x:c r="N108" s="3"/>
      <x:c r="O108" s="3"/>
      <x:c r="P108" s="3"/>
      <x:c r="Q108" s="3"/>
      <x:c r="R108" s="3"/>
      <x:c r="S108" s="3"/>
      <x:c r="T108" s="3"/>
    </x:row>
    <x:row r="109" ht="25" customHeight="1">
      <x:c r="A109" s="2"/>
      <x:c r="B109" s="2"/>
      <x:c r="C109" s="32"/>
      <x:c r="D109" s="3"/>
      <x:c r="E109" s="3"/>
      <x:c r="F109" s="3"/>
      <x:c r="G109" s="3"/>
      <x:c r="H109" s="3"/>
      <x:c r="I109" s="3"/>
      <x:c r="J109" s="3"/>
      <x:c r="K109" s="3"/>
      <x:c r="L109" s="3"/>
      <x:c r="M109" s="3"/>
      <x:c r="N109" s="3"/>
      <x:c r="O109" s="3"/>
      <x:c r="P109" s="3"/>
      <x:c r="Q109" s="3"/>
      <x:c r="R109" s="3"/>
      <x:c r="S109" s="3"/>
      <x:c r="T109" s="3"/>
    </x:row>
    <x:row r="110" ht="25" customHeight="1">
      <x:c r="A110" s="2"/>
      <x:c r="B110" s="2"/>
      <x:c r="C110" s="32"/>
      <x:c r="D110" s="3"/>
      <x:c r="E110" s="3"/>
      <x:c r="F110" s="3"/>
      <x:c r="G110" s="3"/>
      <x:c r="H110" s="3"/>
      <x:c r="I110" s="3"/>
      <x:c r="J110" s="3"/>
      <x:c r="K110" s="3"/>
      <x:c r="L110" s="3"/>
      <x:c r="M110" s="3"/>
      <x:c r="N110" s="3"/>
      <x:c r="O110" s="3"/>
      <x:c r="P110" s="3"/>
      <x:c r="Q110" s="3"/>
      <x:c r="R110" s="3"/>
      <x:c r="S110" s="3"/>
      <x:c r="T110" s="3"/>
    </x:row>
    <x:row r="111" ht="25" customHeight="1">
      <x:c r="A111" s="2"/>
      <x:c r="B111" s="2"/>
      <x:c r="C111" s="32"/>
      <x:c r="D111" s="3"/>
      <x:c r="E111" s="3"/>
      <x:c r="F111" s="3"/>
      <x:c r="G111" s="3"/>
      <x:c r="H111" s="3"/>
      <x:c r="I111" s="3"/>
      <x:c r="J111" s="3"/>
      <x:c r="K111" s="3"/>
      <x:c r="L111" s="3"/>
      <x:c r="M111" s="3"/>
      <x:c r="N111" s="3"/>
      <x:c r="O111" s="3"/>
      <x:c r="P111" s="3"/>
      <x:c r="Q111" s="3"/>
      <x:c r="R111" s="3"/>
      <x:c r="S111" s="3"/>
      <x:c r="T111" s="3"/>
    </x:row>
    <x:row r="112" ht="25" customHeight="1">
      <x:c r="A112" s="2"/>
      <x:c r="B112" s="2"/>
      <x:c r="C112" s="32"/>
      <x:c r="D112" s="3"/>
      <x:c r="E112" s="3"/>
      <x:c r="F112" s="3"/>
      <x:c r="G112" s="3"/>
      <x:c r="H112" s="3"/>
      <x:c r="I112" s="3"/>
      <x:c r="J112" s="3"/>
      <x:c r="K112" s="3"/>
      <x:c r="L112" s="3"/>
      <x:c r="M112" s="3"/>
      <x:c r="N112" s="3"/>
      <x:c r="O112" s="3"/>
      <x:c r="P112" s="3"/>
      <x:c r="Q112" s="3"/>
      <x:c r="R112" s="3"/>
      <x:c r="S112" s="3"/>
      <x:c r="T112" s="3"/>
    </x:row>
    <x:row r="113" ht="25" customHeight="1">
      <x:c r="A113" s="2"/>
      <x:c r="B113" s="2"/>
      <x:c r="C113" s="32"/>
      <x:c r="D113" s="3"/>
      <x:c r="E113" s="3"/>
      <x:c r="F113" s="3"/>
      <x:c r="G113" s="3"/>
      <x:c r="H113" s="3"/>
      <x:c r="I113" s="3"/>
      <x:c r="J113" s="3"/>
      <x:c r="K113" s="3"/>
      <x:c r="L113" s="3"/>
      <x:c r="M113" s="3"/>
      <x:c r="N113" s="3"/>
      <x:c r="O113" s="3"/>
      <x:c r="P113" s="3"/>
      <x:c r="Q113" s="3"/>
      <x:c r="R113" s="3"/>
      <x:c r="S113" s="3"/>
      <x:c r="T113" s="3"/>
    </x:row>
    <x:row r="114" ht="25" customHeight="1">
      <x:c r="A114" s="2"/>
      <x:c r="B114" s="2"/>
      <x:c r="C114" s="32"/>
      <x:c r="D114" s="3"/>
      <x:c r="E114" s="3"/>
      <x:c r="F114" s="3"/>
      <x:c r="G114" s="3"/>
      <x:c r="H114" s="3"/>
      <x:c r="I114" s="3"/>
      <x:c r="J114" s="3"/>
      <x:c r="K114" s="3"/>
      <x:c r="L114" s="3"/>
      <x:c r="M114" s="3"/>
      <x:c r="N114" s="3"/>
      <x:c r="O114" s="3"/>
      <x:c r="P114" s="3"/>
      <x:c r="Q114" s="3"/>
      <x:c r="R114" s="3"/>
      <x:c r="S114" s="3"/>
      <x:c r="T114" s="3"/>
    </x:row>
    <x:row r="115" ht="25" customHeight="1">
      <x:c r="A115" s="2"/>
      <x:c r="B115" s="2"/>
      <x:c r="C115" s="32"/>
      <x:c r="D115" s="3"/>
      <x:c r="E115" s="3"/>
      <x:c r="F115" s="3"/>
      <x:c r="G115" s="3"/>
      <x:c r="H115" s="3"/>
      <x:c r="I115" s="3"/>
      <x:c r="J115" s="3"/>
      <x:c r="K115" s="3"/>
      <x:c r="L115" s="3"/>
      <x:c r="M115" s="3"/>
      <x:c r="N115" s="3"/>
      <x:c r="O115" s="3"/>
      <x:c r="P115" s="3"/>
      <x:c r="Q115" s="3"/>
      <x:c r="R115" s="3"/>
      <x:c r="S115" s="3"/>
      <x:c r="T115" s="3"/>
    </x:row>
    <x:row r="116" ht="25" customHeight="1">
      <x:c r="A116" s="2"/>
      <x:c r="B116" s="2"/>
      <x:c r="C116" s="32"/>
      <x:c r="D116" s="3"/>
      <x:c r="E116" s="3"/>
      <x:c r="F116" s="3"/>
      <x:c r="G116" s="3"/>
      <x:c r="H116" s="3"/>
      <x:c r="I116" s="3"/>
      <x:c r="J116" s="3"/>
      <x:c r="K116" s="3"/>
      <x:c r="L116" s="3"/>
      <x:c r="M116" s="3"/>
      <x:c r="N116" s="3"/>
      <x:c r="O116" s="3"/>
      <x:c r="P116" s="3"/>
      <x:c r="Q116" s="3"/>
      <x:c r="R116" s="3"/>
      <x:c r="S116" s="3"/>
      <x:c r="T116" s="3"/>
    </x:row>
    <x:row r="117" ht="25" customHeight="1">
      <x:c r="A117" s="2"/>
      <x:c r="B117" s="2"/>
      <x:c r="C117" s="32"/>
      <x:c r="D117" s="3"/>
      <x:c r="E117" s="3"/>
      <x:c r="F117" s="3"/>
      <x:c r="G117" s="3"/>
      <x:c r="H117" s="3"/>
      <x:c r="I117" s="3"/>
      <x:c r="J117" s="3"/>
      <x:c r="K117" s="3"/>
      <x:c r="L117" s="3"/>
      <x:c r="M117" s="3"/>
      <x:c r="N117" s="3"/>
      <x:c r="O117" s="3"/>
      <x:c r="P117" s="3"/>
      <x:c r="Q117" s="3"/>
      <x:c r="R117" s="3"/>
      <x:c r="S117" s="3"/>
      <x:c r="T117" s="3"/>
    </x:row>
    <x:row r="118" ht="25" customHeight="1">
      <x:c r="A118" s="2"/>
      <x:c r="B118" s="2"/>
      <x:c r="C118" s="32"/>
      <x:c r="D118" s="3"/>
      <x:c r="E118" s="3"/>
      <x:c r="F118" s="3"/>
      <x:c r="G118" s="3"/>
      <x:c r="H118" s="3"/>
      <x:c r="I118" s="3"/>
      <x:c r="J118" s="3"/>
      <x:c r="K118" s="3"/>
      <x:c r="L118" s="3"/>
      <x:c r="M118" s="3"/>
      <x:c r="N118" s="3"/>
      <x:c r="O118" s="3"/>
      <x:c r="P118" s="3"/>
      <x:c r="Q118" s="3"/>
      <x:c r="R118" s="3"/>
      <x:c r="S118" s="3"/>
      <x:c r="T118" s="3"/>
    </x:row>
    <x:row r="119" ht="25" customHeight="1">
      <x:c r="A119" s="2"/>
      <x:c r="B119" s="2"/>
      <x:c r="C119" s="32"/>
      <x:c r="D119" s="3"/>
      <x:c r="E119" s="3"/>
      <x:c r="F119" s="3"/>
      <x:c r="G119" s="3"/>
      <x:c r="H119" s="3"/>
      <x:c r="I119" s="3"/>
      <x:c r="J119" s="3"/>
      <x:c r="K119" s="3"/>
      <x:c r="L119" s="3"/>
      <x:c r="M119" s="3"/>
      <x:c r="N119" s="3"/>
      <x:c r="O119" s="3"/>
      <x:c r="P119" s="3"/>
      <x:c r="Q119" s="3"/>
      <x:c r="R119" s="3"/>
      <x:c r="S119" s="3"/>
      <x:c r="T119" s="3"/>
    </x:row>
    <x:row r="120" ht="25" customHeight="1">
      <x:c r="A120" s="2"/>
      <x:c r="B120" s="2"/>
      <x:c r="C120" s="32"/>
      <x:c r="D120" s="3"/>
      <x:c r="E120" s="3"/>
      <x:c r="F120" s="3"/>
      <x:c r="G120" s="3"/>
      <x:c r="H120" s="3"/>
      <x:c r="I120" s="3"/>
      <x:c r="J120" s="3"/>
      <x:c r="K120" s="3"/>
      <x:c r="L120" s="3"/>
      <x:c r="M120" s="3"/>
      <x:c r="N120" s="3"/>
      <x:c r="O120" s="3"/>
      <x:c r="P120" s="3"/>
      <x:c r="Q120" s="3"/>
      <x:c r="R120" s="3"/>
      <x:c r="S120" s="3"/>
      <x:c r="T120" s="3"/>
    </x:row>
  </x:sheetData>
  <x:mergeCells>
    <x:mergeCell ref="C2:T2"/>
    <x:mergeCell ref="C50:L50"/>
    <x:mergeCell ref="C82:L82"/>
    <x:mergeCell ref="C84:L84"/>
  </x:mergeCells>
  <x:pageMargins left="0.7" right="0.7" top="0.75" bottom="0.75" header="0.3" footer="0.3"/>
</x:worksheet>
</file>

<file path=xl/worksheets/sheet7.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2" hidden="0" customWidth="1"/>
    <x:col min="2" max="2" width="2" hidden="0" customWidth="1"/>
    <x:col min="3" max="3" width="48"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 min="17" max="17" width="16" hidden="0" customWidth="1"/>
    <x:col min="18" max="18" width="16" hidden="0" customWidth="1"/>
    <x:col min="19" max="19" width="16" hidden="0" customWidth="1"/>
    <x:col min="20" max="20" width="16" hidden="0" customWidth="1"/>
  </x:cols>
  <x:sheetData>
    <x:row r="1" ht="25" customHeight="1">
      <x:c r="A1" s="2"/>
      <x:c r="B1" s="2"/>
      <x:c r="C1" s="2"/>
      <x:c r="D1" s="3"/>
      <x:c r="E1" s="3"/>
      <x:c r="F1" s="3"/>
      <x:c r="G1" s="3"/>
      <x:c r="H1" s="3"/>
      <x:c r="I1" s="3"/>
      <x:c r="J1" s="3"/>
      <x:c r="K1" s="3"/>
      <x:c r="L1" s="3"/>
      <x:c r="M1" s="3"/>
      <x:c r="N1" s="3"/>
      <x:c r="O1" s="3"/>
      <x:c r="P1" s="3"/>
      <x:c r="Q1" s="3"/>
      <x:c r="R1" s="3"/>
      <x:c r="S1" s="3"/>
      <x:c r="T1" s="3"/>
    </x:row>
    <x:row r="2" ht="34" customHeight="1">
      <x:c r="A2" s="2"/>
      <x:c r="B2" s="2"/>
      <x:c r="C2" s="4" t="str">
        <x:v>Customer cohorts and recurring subscriptions</x:v>
      </x:c>
      <x:c r="D2" s="3"/>
      <x:c r="E2" s="3"/>
      <x:c r="F2" s="3"/>
      <x:c r="G2" s="3"/>
      <x:c r="H2" s="3"/>
      <x:c r="I2" s="3"/>
      <x:c r="J2" s="3"/>
      <x:c r="K2" s="3"/>
      <x:c r="L2" s="3"/>
      <x:c r="M2" s="3"/>
      <x:c r="N2" s="3"/>
      <x:c r="O2" s="3"/>
      <x:c r="P2" s="3"/>
      <x:c r="Q2" s="3"/>
      <x:c r="R2" s="3"/>
      <x:c r="S2" s="3"/>
      <x:c r="T2" s="3"/>
    </x:row>
    <x:row r="3" ht="25" customHeight="1">
      <x:c r="A3" s="2"/>
      <x:c r="B3" s="2"/>
      <x:c r="C3" s="2" t="str">
        <x:v>Selected case</x:v>
      </x:c>
      <x:c r="D3" s="52" t="str">
        <x:f>'Inputs'!$E$3</x:f>
        <x:v>Base</x:v>
      </x:c>
      <x:c r="E3" s="3"/>
      <x:c r="F3" s="3"/>
      <x:c r="G3" s="3"/>
      <x:c r="H3" s="3"/>
      <x:c r="I3" s="3"/>
      <x:c r="J3" s="3"/>
      <x:c r="K3" s="3"/>
      <x:c r="L3" s="3"/>
      <x:c r="M3" s="3"/>
      <x:c r="N3" s="3"/>
      <x:c r="O3" s="3"/>
      <x:c r="P3" s="3"/>
      <x:c r="Q3" s="3"/>
      <x:c r="R3" s="3"/>
      <x:c r="S3" s="3"/>
      <x:c r="T3" s="3"/>
    </x:row>
    <x:row r="4" ht="25" customHeight="1">
      <x:c r="A4" s="2"/>
      <x:c r="B4" s="2"/>
      <x:c r="C4" s="2"/>
      <x:c r="D4" s="3"/>
      <x:c r="E4" s="3"/>
      <x:c r="F4" s="3"/>
      <x:c r="G4" s="3"/>
      <x:c r="H4" s="3"/>
      <x:c r="I4" s="3"/>
      <x:c r="J4" s="3"/>
      <x:c r="K4" s="3"/>
      <x:c r="L4" s="3"/>
      <x:c r="M4" s="3"/>
      <x:c r="N4" s="3"/>
      <x:c r="O4" s="3"/>
      <x:c r="P4" s="3"/>
      <x:c r="Q4" s="3"/>
      <x:c r="R4" s="3"/>
      <x:c r="S4" s="3"/>
      <x:c r="T4" s="3"/>
    </x:row>
    <x:row r="5" ht="25" customHeight="1">
      <x:c r="A5" s="2"/>
      <x:c r="B5" s="2"/>
      <x:c r="C5" s="7"/>
      <x:c r="D5" s="8" t="str">
        <x:v>Q4:26</x:v>
      </x:c>
      <x:c r="E5" s="8" t="str">
        <x:v>Q1:27</x:v>
      </x:c>
      <x:c r="F5" s="8" t="str">
        <x:v>Q2:27</x:v>
      </x:c>
      <x:c r="G5" s="8" t="str">
        <x:v>Q3:27</x:v>
      </x:c>
      <x:c r="H5" s="8" t="str">
        <x:v>Q4:27</x:v>
      </x:c>
      <x:c r="I5" s="8" t="str">
        <x:v>Q1:28</x:v>
      </x:c>
      <x:c r="J5" s="8" t="str">
        <x:v>Q2:28</x:v>
      </x:c>
      <x:c r="K5" s="8" t="str">
        <x:v>Q3:28</x:v>
      </x:c>
      <x:c r="L5" s="8" t="str">
        <x:v>Q4:28</x:v>
      </x:c>
      <x:c r="M5" s="8" t="str">
        <x:v>Q1:29</x:v>
      </x:c>
      <x:c r="N5" s="8" t="str">
        <x:v>Q2:29</x:v>
      </x:c>
      <x:c r="O5" s="8" t="str">
        <x:v>Q3:29</x:v>
      </x:c>
      <x:c r="P5" s="8" t="str">
        <x:v>Q4:29</x:v>
      </x:c>
      <x:c r="Q5" s="8" t="str">
        <x:v>Q1:30</x:v>
      </x:c>
      <x:c r="R5" s="8" t="str">
        <x:v>Q2:30</x:v>
      </x:c>
      <x:c r="S5" s="8" t="str">
        <x:v>Q3:30</x:v>
      </x:c>
      <x:c r="T5" s="8" t="str">
        <x:v>Q4:30</x:v>
      </x:c>
    </x:row>
    <x:row r="6" ht="25" customHeight="1">
      <x:c r="A6" s="2"/>
      <x:c r="B6" s="2"/>
      <x:c r="C6" s="32"/>
      <x:c r="D6" s="3"/>
      <x:c r="E6" s="3"/>
      <x:c r="F6" s="3"/>
      <x:c r="G6" s="3"/>
      <x:c r="H6" s="3"/>
      <x:c r="I6" s="3"/>
      <x:c r="J6" s="3"/>
      <x:c r="K6" s="3"/>
      <x:c r="L6" s="3"/>
      <x:c r="M6" s="3"/>
      <x:c r="N6" s="3"/>
      <x:c r="O6" s="3"/>
      <x:c r="P6" s="3"/>
      <x:c r="Q6" s="3"/>
      <x:c r="R6" s="3"/>
      <x:c r="S6" s="3"/>
      <x:c r="T6" s="3"/>
    </x:row>
    <x:row r="7" ht="25" customHeight="1">
      <x:c r="A7" s="2"/>
      <x:c r="B7" s="2"/>
      <x:c r="C7" s="60" t="str">
        <x:v>Active customers at quarter end</x:v>
      </x:c>
      <x:c r="D7" s="40" t="n">
        <x:f>SUM(D30:D46)</x:f>
        <x:v>0</x:v>
      </x:c>
      <x:c r="E7" s="40" t="n">
        <x:f>SUM(E30:E46)</x:f>
        <x:v>4</x:v>
      </x:c>
      <x:c r="F7" s="40" t="n">
        <x:f>SUM(F30:F46)</x:f>
        <x:v>11.25</x:v>
      </x:c>
      <x:c r="G7" s="40" t="n">
        <x:f>SUM(G30:G46)</x:f>
        <x:v>17.5</x:v>
      </x:c>
      <x:c r="H7" s="40" t="n">
        <x:f>SUM(H30:H46)</x:f>
        <x:v>25</x:v>
      </x:c>
      <x:c r="I7" s="40" t="n">
        <x:f>SUM(I30:I46)</x:f>
        <x:v>35.10625</x:v>
      </x:c>
      <x:c r="J7" s="40" t="n">
        <x:f>SUM(J30:J46)</x:f>
        <x:v>49.97687500000001</x:v>
      </x:c>
      <x:c r="K7" s="40" t="n">
        <x:f>SUM(K30:K46)</x:f>
        <x:v>68.51750000000001</x:v>
      </x:c>
      <x:c r="L7" s="40" t="n">
        <x:f>SUM(L30:L46)</x:f>
        <x:v>97.00000000000001</x:v>
      </x:c>
      <x:c r="M7" s="40" t="n">
        <x:f>SUM(M30:M46)</x:f>
        <x:v>141.76525000000004</x:v>
      </x:c>
      <x:c r="N7" s="40" t="n">
        <x:f>SUM(N30:N46)</x:f>
        <x:v>216.22560000000004</x:v>
      </x:c>
      <x:c r="O7" s="40" t="n">
        <x:f>SUM(O30:O46)</x:f>
        <x:v>306.8923500000001</x:v>
      </x:c>
      <x:c r="P7" s="40" t="n">
        <x:f>SUM(P30:P46)</x:f>
        <x:v>431.5437500000001</x:v>
      </x:c>
      <x:c r="Q7" s="40" t="n">
        <x:f>SUM(Q30:Q46)</x:f>
        <x:v>593.7040300000001</x:v>
      </x:c>
      <x:c r="R7" s="40" t="n">
        <x:f>SUM(R30:R46)</x:f>
        <x:v>823.3763020000001</x:v>
      </x:c>
      <x:c r="S7" s="40" t="n">
        <x:f>SUM(S30:S46)</x:f>
        <x:v>1081.1057745</x:v>
      </x:c>
      <x:c r="T7" s="40" t="n">
        <x:f>SUM(T30:T46)</x:f>
        <x:v>1292</x:v>
      </x:c>
    </x:row>
    <x:row r="8" ht="25" customHeight="1">
      <x:c r="A8" s="2"/>
      <x:c r="B8" s="2"/>
      <x:c r="C8" s="32" t="str">
        <x:v>Customers activated</x:v>
      </x:c>
      <x:c r="D8" s="52" t="n">
        <x:f>'Sales'!D25*'Inputs'!D22</x:f>
        <x:v>0</x:v>
      </x:c>
      <x:c r="E8" s="52" t="n">
        <x:f>'Sales'!E25*'Inputs'!E22</x:f>
        <x:v>4</x:v>
      </x:c>
      <x:c r="F8" s="52" t="n">
        <x:f>'Sales'!F25*'Inputs'!E22</x:f>
        <x:v>7.25</x:v>
      </x:c>
      <x:c r="G8" s="52" t="n">
        <x:f>'Sales'!G25*'Inputs'!E22</x:f>
        <x:v>6.25</x:v>
      </x:c>
      <x:c r="H8" s="52" t="n">
        <x:f>'Sales'!H25*'Inputs'!E22</x:f>
        <x:v>7.5</x:v>
      </x:c>
      <x:c r="I8" s="52" t="n">
        <x:f>'Sales'!I25*'Inputs'!F22</x:f>
        <x:v>10.506250000000001</x:v>
      </x:c>
      <x:c r="J8" s="52" t="n">
        <x:f>'Sales'!J25*'Inputs'!F22</x:f>
        <x:v>15.595625000000002</x:v>
      </x:c>
      <x:c r="K8" s="52" t="n">
        <x:f>'Sales'!K25*'Inputs'!F22</x:f>
        <x:v>19.165625000000002</x:v>
      </x:c>
      <x:c r="L8" s="52" t="n">
        <x:f>'Sales'!L25*'Inputs'!F22</x:f>
        <x:v>29.2325</x:v>
      </x:c>
      <x:c r="M8" s="52" t="n">
        <x:f>'Sales'!M25*'Inputs'!G22</x:f>
        <x:v>45.89375000000001</x:v>
      </x:c>
      <x:c r="N8" s="52" t="n">
        <x:f>'Sales'!N25*'Inputs'!G22</x:f>
        <x:v>76.23</x:v>
      </x:c>
      <x:c r="O8" s="52" t="n">
        <x:f>'Sales'!O25*'Inputs'!G22</x:f>
        <x:v>92.65</x:v>
      </x:c>
      <x:c r="P8" s="52" t="n">
        <x:f>'Sales'!P25*'Inputs'!G22</x:f>
        <x:v>127.53000000000003</x:v>
      </x:c>
      <x:c r="Q8" s="52" t="n">
        <x:f>'Sales'!Q25*'Inputs'!H22</x:f>
        <x:v>166.87</x:v>
      </x:c>
      <x:c r="R8" s="52" t="n">
        <x:f>'Sales'!R25*'Inputs'!H22</x:f>
        <x:v>237.39875000000004</x:v>
      </x:c>
      <x:c r="S8" s="52" t="n">
        <x:f>'Sales'!S25*'Inputs'!H22</x:f>
        <x:v>266.96606249999985</x:v>
      </x:c>
      <x:c r="T8" s="52" t="n">
        <x:f>'Sales'!T25*'Inputs'!H22</x:f>
        <x:v>223.74493750000002</x:v>
      </x:c>
    </x:row>
    <x:row r="9" ht="25" customHeight="1">
      <x:c r="A9" s="2"/>
      <x:c r="B9" s="2"/>
      <x:c r="C9" s="32" t="str">
        <x:v>Customers lost at anniversary</x:v>
      </x:c>
      <x:c r="D9" s="3" t="n">
        <x:f>0</x:f>
        <x:v>0</x:v>
      </x:c>
      <x:c r="E9" s="3" t="n">
        <x:f>D7+E8-E7</x:f>
        <x:v>0</x:v>
      </x:c>
      <x:c r="F9" s="3" t="n">
        <x:f>E7+F8-F7</x:f>
        <x:v>0</x:v>
      </x:c>
      <x:c r="G9" s="3" t="n">
        <x:f>F7+G8-G7</x:f>
        <x:v>0</x:v>
      </x:c>
      <x:c r="H9" s="3" t="n">
        <x:f>G7+H8-H7</x:f>
        <x:v>0</x:v>
      </x:c>
      <x:c r="I9" s="3" t="n">
        <x:f>H7+I8-I7</x:f>
        <x:v>0.3999999999999986</x:v>
      </x:c>
      <x:c r="J9" s="3" t="n">
        <x:f>I7+J8-J7</x:f>
        <x:v>0.7249999999999943</x:v>
      </x:c>
      <x:c r="K9" s="3" t="n">
        <x:f>J7+K8-K7</x:f>
        <x:v>0.625</x:v>
      </x:c>
      <x:c r="L9" s="3" t="n">
        <x:f>K7+L8-L7</x:f>
        <x:v>0.75</x:v>
      </x:c>
      <x:c r="M9" s="3" t="n">
        <x:f>L7+M8-M7</x:f>
        <x:v>1.128499999999974</x:v>
      </x:c>
      <x:c r="N9" s="3" t="n">
        <x:f>M7+N8-N7</x:f>
        <x:v>1.7696500000000128</x:v>
      </x:c>
      <x:c r="O9" s="3" t="n">
        <x:f>N7+O8-O7</x:f>
        <x:v>1.9832499999999982</x:v>
      </x:c>
      <x:c r="P9" s="3" t="n">
        <x:f>O7+P8-P7</x:f>
        <x:v>2.878600000000006</x:v>
      </x:c>
      <x:c r="Q9" s="3" t="n">
        <x:f>P7+Q8-Q7</x:f>
        <x:v>4.709720000000061</x:v>
      </x:c>
      <x:c r="R9" s="3" t="n">
        <x:f>Q7+R8-R7</x:f>
        <x:v>7.726478000000043</x:v>
      </x:c>
      <x:c r="S9" s="3" t="n">
        <x:f>R7+S8-S7</x:f>
        <x:v>9.236589999999978</x:v>
      </x:c>
      <x:c r="T9" s="3" t="n">
        <x:f>S7+T8-T7</x:f>
        <x:v>12.850712000000158</x:v>
      </x:c>
    </x:row>
    <x:row r="10" ht="25" customHeight="1">
      <x:c r="A10" s="2"/>
      <x:c r="B10" s="2"/>
      <x:c r="C10" s="32" t="str">
        <x:v>Mapped employees at quarter end</x:v>
      </x:c>
      <x:c r="D10" s="52" t="n">
        <x:f>D30*'Pricing'!D34+D31*'Pricing'!E34+D32*'Pricing'!E34+D33*'Pricing'!E34+D34*'Pricing'!E34+D35*'Pricing'!F34+D36*'Pricing'!F34+D37*'Pricing'!F34+D38*'Pricing'!F34+D39*'Pricing'!G34+D40*'Pricing'!G34+D41*'Pricing'!G34+D42*'Pricing'!G34+D43*'Pricing'!H34+D44*'Pricing'!H34+D45*'Pricing'!H34+D46*'Pricing'!H34</x:f>
        <x:v>0</x:v>
      </x:c>
      <x:c r="E10" s="52" t="n">
        <x:f>E30*'Pricing'!D34+E31*'Pricing'!E34+E32*'Pricing'!E34+E33*'Pricing'!E34+E34*'Pricing'!E34+E35*'Pricing'!F34+E36*'Pricing'!F34+E37*'Pricing'!F34+E38*'Pricing'!F34+E39*'Pricing'!G34+E40*'Pricing'!G34+E41*'Pricing'!G34+E42*'Pricing'!G34+E43*'Pricing'!H34+E44*'Pricing'!H34+E45*'Pricing'!H34+E46*'Pricing'!H34</x:f>
        <x:v>660</x:v>
      </x:c>
      <x:c r="F10" s="52" t="n">
        <x:f>F30*'Pricing'!D34+F31*'Pricing'!E34+F32*'Pricing'!E34+F33*'Pricing'!E34+F34*'Pricing'!E34+F35*'Pricing'!F34+F36*'Pricing'!F34+F37*'Pricing'!F34+F38*'Pricing'!F34+F39*'Pricing'!G34+F40*'Pricing'!G34+F41*'Pricing'!G34+F42*'Pricing'!G34+F43*'Pricing'!H34+F44*'Pricing'!H34+F45*'Pricing'!H34+F46*'Pricing'!H34</x:f>
        <x:v>1856.25</x:v>
      </x:c>
      <x:c r="G10" s="52" t="n">
        <x:f>G30*'Pricing'!D34+G31*'Pricing'!E34+G32*'Pricing'!E34+G33*'Pricing'!E34+G34*'Pricing'!E34+G35*'Pricing'!F34+G36*'Pricing'!F34+G37*'Pricing'!F34+G38*'Pricing'!F34+G39*'Pricing'!G34+G40*'Pricing'!G34+G41*'Pricing'!G34+G42*'Pricing'!G34+G43*'Pricing'!H34+G44*'Pricing'!H34+G45*'Pricing'!H34+G46*'Pricing'!H34</x:f>
        <x:v>2887.5</x:v>
      </x:c>
      <x:c r="H10" s="52" t="n">
        <x:f>H30*'Pricing'!D34+H31*'Pricing'!E34+H32*'Pricing'!E34+H33*'Pricing'!E34+H34*'Pricing'!E34+H35*'Pricing'!F34+H36*'Pricing'!F34+H37*'Pricing'!F34+H38*'Pricing'!F34+H39*'Pricing'!G34+H40*'Pricing'!G34+H41*'Pricing'!G34+H42*'Pricing'!G34+H43*'Pricing'!H34+H44*'Pricing'!H34+H45*'Pricing'!H34+H46*'Pricing'!H34</x:f>
        <x:v>4125</x:v>
      </x:c>
      <x:c r="I10" s="52" t="n">
        <x:f>I30*'Pricing'!D34+I31*'Pricing'!E34+I32*'Pricing'!E34+I33*'Pricing'!E34+I34*'Pricing'!E34+I35*'Pricing'!F34+I36*'Pricing'!F34+I37*'Pricing'!F34+I38*'Pricing'!F34+I39*'Pricing'!G34+I40*'Pricing'!G34+I41*'Pricing'!G34+I42*'Pricing'!G34+I43*'Pricing'!H34+I44*'Pricing'!H34+I45*'Pricing'!H34+I46*'Pricing'!H34</x:f>
        <x:v>7132.078125</x:v>
      </x:c>
      <x:c r="J10" s="52" t="n">
        <x:f>J30*'Pricing'!D34+J31*'Pricing'!E34+J32*'Pricing'!E34+J33*'Pricing'!E34+J34*'Pricing'!E34+J35*'Pricing'!F34+J36*'Pricing'!F34+J37*'Pricing'!F34+J38*'Pricing'!F34+J39*'Pricing'!G34+J40*'Pricing'!G34+J41*'Pricing'!G34+J42*'Pricing'!G34+J43*'Pricing'!H34+J44*'Pricing'!H34+J45*'Pricing'!H34+J46*'Pricing'!H34</x:f>
        <x:v>11574.173437500001</x:v>
      </x:c>
      <x:c r="K10" s="52" t="n">
        <x:f>K30*'Pricing'!D34+K31*'Pricing'!E34+K32*'Pricing'!E34+K33*'Pricing'!E34+K34*'Pricing'!E34+K35*'Pricing'!F34+K36*'Pricing'!F34+K37*'Pricing'!F34+K38*'Pricing'!F34+K39*'Pricing'!G34+K40*'Pricing'!G34+K41*'Pricing'!G34+K42*'Pricing'!G34+K43*'Pricing'!H34+K44*'Pricing'!H34+K45*'Pricing'!H34+K46*'Pricing'!H34</x:f>
        <x:v>17076.99375</x:v>
      </x:c>
      <x:c r="L10" s="52" t="n">
        <x:f>L30*'Pricing'!D34+L31*'Pricing'!E34+L32*'Pricing'!E34+L33*'Pricing'!E34+L34*'Pricing'!E34+L35*'Pricing'!F34+L36*'Pricing'!F34+L37*'Pricing'!F34+L38*'Pricing'!F34+L39*'Pricing'!G34+L40*'Pricing'!G34+L41*'Pricing'!G34+L42*'Pricing'!G34+L43*'Pricing'!H34+L44*'Pricing'!H34+L45*'Pricing'!H34+L46*'Pricing'!H34</x:f>
        <x:v>25503.75</x:v>
      </x:c>
      <x:c r="M10" s="52" t="n">
        <x:f>M30*'Pricing'!D34+M31*'Pricing'!E34+M32*'Pricing'!E34+M33*'Pricing'!E34+M34*'Pricing'!E34+M35*'Pricing'!F34+M36*'Pricing'!F34+M37*'Pricing'!F34+M38*'Pricing'!F34+M39*'Pricing'!G34+M40*'Pricing'!G34+M41*'Pricing'!G34+M42*'Pricing'!G34+M43*'Pricing'!H34+M44*'Pricing'!H34+M45*'Pricing'!H34+M46*'Pricing'!H34</x:f>
        <x:v>40125.85250000001</x:v>
      </x:c>
      <x:c r="N10" s="52" t="n">
        <x:f>N30*'Pricing'!D34+N31*'Pricing'!E34+N32*'Pricing'!E34+N33*'Pricing'!E34+N34*'Pricing'!E34+N35*'Pricing'!F34+N36*'Pricing'!F34+N37*'Pricing'!F34+N38*'Pricing'!F34+N39*'Pricing'!G34+N40*'Pricing'!G34+N41*'Pricing'!G34+N42*'Pricing'!G34+N43*'Pricing'!H34+N44*'Pricing'!H34+N45*'Pricing'!H34+N46*'Pricing'!H34</x:f>
        <x:v>64449.53487500001</x:v>
      </x:c>
      <x:c r="O10" s="52" t="n">
        <x:f>O30*'Pricing'!D34+O31*'Pricing'!E34+O32*'Pricing'!E34+O33*'Pricing'!E34+O34*'Pricing'!E34+O35*'Pricing'!F34+O36*'Pricing'!F34+O37*'Pricing'!F34+O38*'Pricing'!F34+O39*'Pricing'!G34+O40*'Pricing'!G34+O41*'Pricing'!G34+O42*'Pricing'!G34+O43*'Pricing'!H34+O44*'Pricing'!H34+O45*'Pricing'!H34+O46*'Pricing'!H34</x:f>
        <x:v>94038.05925</x:v>
      </x:c>
      <x:c r="P10" s="52" t="n">
        <x:f>P30*'Pricing'!D34+P31*'Pricing'!E34+P32*'Pricing'!E34+P33*'Pricing'!E34+P34*'Pricing'!E34+P35*'Pricing'!F34+P36*'Pricing'!F34+P37*'Pricing'!F34+P38*'Pricing'!F34+P39*'Pricing'!G34+P40*'Pricing'!G34+P41*'Pricing'!G34+P42*'Pricing'!G34+P43*'Pricing'!H34+P44*'Pricing'!H34+P45*'Pricing'!H34+P46*'Pricing'!H34</x:f>
        <x:v>134712.16875</x:v>
      </x:c>
      <x:c r="Q10" s="52" t="n">
        <x:f>Q30*'Pricing'!D34+Q31*'Pricing'!E34+Q32*'Pricing'!E34+Q33*'Pricing'!E34+Q34*'Pricing'!E34+Q35*'Pricing'!F34+Q36*'Pricing'!F34+Q37*'Pricing'!F34+Q38*'Pricing'!F34+Q39*'Pricing'!G34+Q40*'Pricing'!G34+Q41*'Pricing'!G34+Q42*'Pricing'!G34+Q43*'Pricing'!H34+Q44*'Pricing'!H34+Q45*'Pricing'!H34+Q46*'Pricing'!H34</x:f>
        <x:v>204168.78430000003</x:v>
      </x:c>
      <x:c r="R10" s="52" t="n">
        <x:f>R30*'Pricing'!D34+R31*'Pricing'!E34+R32*'Pricing'!E34+R33*'Pricing'!E34+R34*'Pricing'!E34+R35*'Pricing'!F34+R36*'Pricing'!F34+R37*'Pricing'!F34+R38*'Pricing'!F34+R39*'Pricing'!G34+R40*'Pricing'!G34+R41*'Pricing'!G34+R42*'Pricing'!G34+R43*'Pricing'!H34+R44*'Pricing'!H34+R45*'Pricing'!H34+R46*'Pricing'!H34</x:f>
        <x:v>302666.29083500005</x:v>
      </x:c>
      <x:c r="S10" s="52" t="n">
        <x:f>S30*'Pricing'!D34+S31*'Pricing'!E34+S32*'Pricing'!E34+S33*'Pricing'!E34+S34*'Pricing'!E34+S35*'Pricing'!F34+S36*'Pricing'!F34+S37*'Pricing'!F34+S38*'Pricing'!F34+S39*'Pricing'!G34+S40*'Pricing'!G34+S41*'Pricing'!G34+S42*'Pricing'!G34+S43*'Pricing'!H34+S44*'Pricing'!H34+S45*'Pricing'!H34+S46*'Pricing'!H34</x:f>
        <x:v>413237.0598224999</x:v>
      </x:c>
      <x:c r="T10" s="52" t="n">
        <x:f>T30*'Pricing'!D34+T31*'Pricing'!E34+T32*'Pricing'!E34+T33*'Pricing'!E34+T34*'Pricing'!E34+T35*'Pricing'!F34+T36*'Pricing'!F34+T37*'Pricing'!F34+T38*'Pricing'!F34+T39*'Pricing'!G34+T40*'Pricing'!G34+T41*'Pricing'!G34+T42*'Pricing'!G34+T43*'Pricing'!H34+T44*'Pricing'!H34+T45*'Pricing'!H34+T46*'Pricing'!H34</x:f>
        <x:v>504301.589</x:v>
      </x:c>
    </x:row>
    <x:row r="11" ht="25" customHeight="1">
      <x:c r="A11" s="2"/>
      <x:c r="B11" s="2"/>
      <x:c r="C11" s="32" t="str">
        <x:v>New employees mapped</x:v>
      </x:c>
      <x:c r="D11" s="52" t="n">
        <x:f>'Sales'!D25*'Pricing'!D34</x:f>
        <x:v>0</x:v>
      </x:c>
      <x:c r="E11" s="52" t="n">
        <x:f>'Sales'!E25*'Pricing'!E34</x:f>
        <x:v>825</x:v>
      </x:c>
      <x:c r="F11" s="52" t="n">
        <x:f>'Sales'!F25*'Pricing'!E34</x:f>
        <x:v>1495.3125</x:v>
      </x:c>
      <x:c r="G11" s="52" t="n">
        <x:f>'Sales'!G25*'Pricing'!E34</x:f>
        <x:v>1289.0625</x:v>
      </x:c>
      <x:c r="H11" s="52" t="n">
        <x:f>'Sales'!H25*'Pricing'!E34</x:f>
        <x:v>1546.875</x:v>
      </x:c>
      <x:c r="I11" s="52" t="n">
        <x:f>'Sales'!I25*'Pricing'!F34</x:f>
        <x:v>3841.34765625</x:v>
      </x:c>
      <x:c r="J11" s="52" t="n">
        <x:f>'Sales'!J25*'Pricing'!F34</x:f>
        <x:v>5702.150390625</x:v>
      </x:c>
      <x:c r="K11" s="52" t="n">
        <x:f>'Sales'!K25*'Pricing'!F34</x:f>
        <x:v>7007.431640625</x:v>
      </x:c>
      <x:c r="L11" s="52" t="n">
        <x:f>'Sales'!L25*'Pricing'!F34</x:f>
        <x:v>10688.1328125</x:v>
      </x:c>
      <x:c r="M11" s="52" t="n">
        <x:f>'Sales'!M25*'Pricing'!G34</x:f>
        <x:v>18644.335937500004</x:v>
      </x:c>
      <x:c r="N11" s="52" t="n">
        <x:f>'Sales'!N25*'Pricing'!G34</x:f>
        <x:v>30968.437499999996</x:v>
      </x:c>
      <x:c r="O11" s="52" t="n">
        <x:f>'Sales'!O25*'Pricing'!G34</x:f>
        <x:v>37639.0625</x:v>
      </x:c>
      <x:c r="P11" s="52" t="n">
        <x:f>'Sales'!P25*'Pricing'!G34</x:f>
        <x:v>51809.06250000001</x:v>
      </x:c>
      <x:c r="Q11" s="52" t="n">
        <x:f>'Sales'!Q25*'Pricing'!H34</x:f>
        <x:v>88649.68749999999</x:v>
      </x:c>
      <x:c r="R11" s="52" t="n">
        <x:f>'Sales'!R25*'Pricing'!H34</x:f>
        <x:v>126118.08593750001</x:v>
      </x:c>
      <x:c r="S11" s="52" t="n">
        <x:f>'Sales'!S25*'Pricing'!H34</x:f>
        <x:v>141825.7207031249</x:v>
      </x:c>
      <x:c r="T11" s="52" t="n">
        <x:f>'Sales'!T25*'Pricing'!H34</x:f>
        <x:v>118864.49804687501</x:v>
      </x:c>
    </x:row>
    <x:row r="12" ht="25" customHeight="1">
      <x:c r="A12" s="2"/>
      <x:c r="B12" s="2"/>
      <x:c r="C12" s="32" t="str">
        <x:v>Map customers</x:v>
      </x:c>
      <x:c r="D12" s="52" t="n">
        <x:f>D30*'Pricing'!$D$43</x:f>
        <x:v>0</x:v>
      </x:c>
      <x:c r="E12" s="52" t="n">
        <x:f>E30*'Pricing'!$D$43+E31*'Pricing'!$D$43</x:f>
        <x:v>4</x:v>
      </x:c>
      <x:c r="F12" s="52" t="n">
        <x:f>F30*'Pricing'!$D$43+F31*'Pricing'!$D$43+F32*'Pricing'!$D$43</x:f>
        <x:v>11.25</x:v>
      </x:c>
      <x:c r="G12" s="52" t="n">
        <x:f>G30*'Pricing'!$D$43+G31*'Pricing'!$D$43+G32*'Pricing'!$D$43+G33*'Pricing'!$D$43</x:f>
        <x:v>17.5</x:v>
      </x:c>
      <x:c r="H12" s="52" t="n">
        <x:f>H30*'Pricing'!$D$44+H31*'Pricing'!$D$43+H32*'Pricing'!$D$43+H33*'Pricing'!$D$43+H34*'Pricing'!$D$43</x:f>
        <x:v>25</x:v>
      </x:c>
      <x:c r="I12" s="52" t="n">
        <x:f>I30*'Pricing'!$D$44+I31*'Pricing'!$D$44+I32*'Pricing'!$D$43+I33*'Pricing'!$D$43+I34*'Pricing'!$D$43+I35*'Pricing'!$D$43</x:f>
        <x:v>33.666250000000005</x:v>
      </x:c>
      <x:c r="J12" s="52" t="n">
        <x:f>J30*'Pricing'!$D$44+J31*'Pricing'!$D$44+J32*'Pricing'!$D$44+J33*'Pricing'!$D$43+J34*'Pricing'!$D$43+J35*'Pricing'!$D$43+J36*'Pricing'!$D$43</x:f>
        <x:v>45.926875</x:v>
      </x:c>
      <x:c r="K12" s="52" t="n">
        <x:f>K30*'Pricing'!$D$44+K31*'Pricing'!$D$44+K32*'Pricing'!$D$44+K33*'Pricing'!$D$44+K34*'Pricing'!$D$43+K35*'Pricing'!$D$43+K36*'Pricing'!$D$43+K37*'Pricing'!$D$43</x:f>
        <x:v>62.2175</x:v>
      </x:c>
      <x:c r="L12" s="52" t="n">
        <x:f>L30*'Pricing'!$D$45+L31*'Pricing'!$D$44+L32*'Pricing'!$D$44+L33*'Pricing'!$D$44+L34*'Pricing'!$D$44+L35*'Pricing'!$D$43+L36*'Pricing'!$D$43+L37*'Pricing'!$D$43+L38*'Pricing'!$D$43</x:f>
        <x:v>88.00000000000001</x:v>
      </x:c>
      <x:c r="M12" s="52" t="n">
        <x:f>M30*'Pricing'!$D$45+M31*'Pricing'!$D$45+M32*'Pricing'!$D$44+M33*'Pricing'!$D$44+M34*'Pricing'!$D$44+M35*'Pricing'!$D$44+M36*'Pricing'!$D$43+M37*'Pricing'!$D$43+M38*'Pricing'!$D$43+M39*'Pricing'!$D$43</x:f>
        <x:v>128.18615000000003</x:v>
      </x:c>
      <x:c r="N12" s="52" t="n">
        <x:f>N30*'Pricing'!$D$45+N31*'Pricing'!$D$45+N32*'Pricing'!$D$45+N33*'Pricing'!$D$44+N34*'Pricing'!$D$44+N35*'Pricing'!$D$44+N36*'Pricing'!$D$44+N37*'Pricing'!$D$43+N38*'Pricing'!$D$43+N39*'Pricing'!$D$43+N40*'Pricing'!$D$43</x:f>
        <x:v>195.61536</x:v>
      </x:c>
      <x:c r="O12" s="52" t="n">
        <x:f>O30*'Pricing'!$D$45+O31*'Pricing'!$D$45+O32*'Pricing'!$D$45+O33*'Pricing'!$D$45+O34*'Pricing'!$D$44+O35*'Pricing'!$D$44+O36*'Pricing'!$D$44+O37*'Pricing'!$D$44+O38*'Pricing'!$D$43+O39*'Pricing'!$D$43+O40*'Pricing'!$D$43+O41*'Pricing'!$D$43</x:f>
        <x:v>278.11541</x:v>
      </x:c>
      <x:c r="P12" s="52" t="n">
        <x:f>P30*'Pricing'!$D$46+P31*'Pricing'!$D$45+P32*'Pricing'!$D$45+P33*'Pricing'!$D$45+P34*'Pricing'!$D$45+P35*'Pricing'!$D$44+P36*'Pricing'!$D$44+P37*'Pricing'!$D$44+P38*'Pricing'!$D$44+P39*'Pricing'!$D$43+P40*'Pricing'!$D$43+P41*'Pricing'!$D$43+P42*'Pricing'!$D$43</x:f>
        <x:v>390.67275</x:v>
      </x:c>
      <x:c r="Q12" s="52" t="n">
        <x:f>Q30*'Pricing'!$D$46+Q31*'Pricing'!$D$46+Q32*'Pricing'!$D$45+Q33*'Pricing'!$D$45+Q34*'Pricing'!$D$45+Q35*'Pricing'!$D$45+Q36*'Pricing'!$D$44+Q37*'Pricing'!$D$44+Q38*'Pricing'!$D$44+Q39*'Pricing'!$D$44+Q40*'Pricing'!$D$43+Q41*'Pricing'!$D$43+Q42*'Pricing'!$D$43+Q43*'Pricing'!$D$43</x:f>
        <x:v>533.8978315</x:v>
      </x:c>
      <x:c r="R12" s="52" t="n">
        <x:f>R30*'Pricing'!$D$46+R31*'Pricing'!$D$46+R32*'Pricing'!$D$46+R33*'Pricing'!$D$45+R34*'Pricing'!$D$45+R35*'Pricing'!$D$45+R36*'Pricing'!$D$45+R37*'Pricing'!$D$44+R38*'Pricing'!$D$44+R39*'Pricing'!$D$44+R40*'Pricing'!$D$44+R41*'Pricing'!$D$43+R42*'Pricing'!$D$43+R43*'Pricing'!$D$43+R44*'Pricing'!$D$43</x:f>
        <x:v>732.4364444500001</x:v>
      </x:c>
      <x:c r="S12" s="52" t="n">
        <x:f>S30*'Pricing'!$D$46+S31*'Pricing'!$D$46+S32*'Pricing'!$D$46+S33*'Pricing'!$D$46+S34*'Pricing'!$D$45+S35*'Pricing'!$D$45+S36*'Pricing'!$D$45+S37*'Pricing'!$D$45+S38*'Pricing'!$D$44+S39*'Pricing'!$D$44+S40*'Pricing'!$D$44+S41*'Pricing'!$D$44+S42*'Pricing'!$D$43+S43*'Pricing'!$D$43+S44*'Pricing'!$D$43+S45*'Pricing'!$D$43</x:f>
        <x:v>952.3725067</x:v>
      </x:c>
      <x:c r="T12" s="52" t="n">
        <x:f>T30*'Pricing'!$D$46+T31*'Pricing'!$D$46+T32*'Pricing'!$D$46+T33*'Pricing'!$D$46+T34*'Pricing'!$D$46+T35*'Pricing'!$D$45+T36*'Pricing'!$D$45+T37*'Pricing'!$D$45+T38*'Pricing'!$D$45+T39*'Pricing'!$D$44+T40*'Pricing'!$D$44+T41*'Pricing'!$D$44+T42*'Pricing'!$D$44+T43*'Pricing'!$D$43+T44*'Pricing'!$D$43+T45*'Pricing'!$D$43+T46*'Pricing'!$D$43</x:f>
        <x:v>1110.7623</x:v>
      </x:c>
    </x:row>
    <x:row r="13" ht="25" customHeight="1">
      <x:c r="A13" s="2"/>
      <x:c r="B13" s="2"/>
      <x:c r="C13" s="32" t="str">
        <x:v>Design customers</x:v>
      </x:c>
      <x:c r="D13" s="52" t="n">
        <x:f>D30*'Pricing'!$E$43</x:f>
        <x:v>0</x:v>
      </x:c>
      <x:c r="E13" s="52" t="n">
        <x:f>E30*'Pricing'!$E$43+E31*'Pricing'!$E$43</x:f>
        <x:v>0</x:v>
      </x:c>
      <x:c r="F13" s="52" t="n">
        <x:f>F30*'Pricing'!$E$43+F31*'Pricing'!$E$43+F32*'Pricing'!$E$43</x:f>
        <x:v>0</x:v>
      </x:c>
      <x:c r="G13" s="52" t="n">
        <x:f>G30*'Pricing'!$E$43+G31*'Pricing'!$E$43+G32*'Pricing'!$E$43+G33*'Pricing'!$E$43</x:f>
        <x:v>0</x:v>
      </x:c>
      <x:c r="H13" s="52" t="n">
        <x:f>H30*'Pricing'!$E$44+H31*'Pricing'!$E$43+H32*'Pricing'!$E$43+H33*'Pricing'!$E$43+H34*'Pricing'!$E$43</x:f>
        <x:v>0</x:v>
      </x:c>
      <x:c r="I13" s="52" t="n">
        <x:f>I30*'Pricing'!$E$44+I31*'Pricing'!$E$44+I32*'Pricing'!$E$43+I33*'Pricing'!$E$43+I34*'Pricing'!$E$43+I35*'Pricing'!$E$43</x:f>
        <x:v>1.08</x:v>
      </x:c>
      <x:c r="J13" s="52" t="n">
        <x:f>J30*'Pricing'!$E$44+J31*'Pricing'!$E$44+J32*'Pricing'!$E$44+J33*'Pricing'!$E$43+J34*'Pricing'!$E$43+J35*'Pricing'!$E$43+J36*'Pricing'!$E$43</x:f>
        <x:v>3.0375</x:v>
      </x:c>
      <x:c r="K13" s="52" t="n">
        <x:f>K30*'Pricing'!$E$44+K31*'Pricing'!$E$44+K32*'Pricing'!$E$44+K33*'Pricing'!$E$44+K34*'Pricing'!$E$43+K35*'Pricing'!$E$43+K36*'Pricing'!$E$43+K37*'Pricing'!$E$43</x:f>
        <x:v>4.725</x:v>
      </x:c>
      <x:c r="L13" s="52" t="n">
        <x:f>L30*'Pricing'!$E$45+L31*'Pricing'!$E$44+L32*'Pricing'!$E$44+L33*'Pricing'!$E$44+L34*'Pricing'!$E$44+L35*'Pricing'!$E$43+L36*'Pricing'!$E$43+L37*'Pricing'!$E$43+L38*'Pricing'!$E$43</x:f>
        <x:v>6.75</x:v>
      </x:c>
      <x:c r="M13" s="52" t="n">
        <x:f>M30*'Pricing'!$E$45+M31*'Pricing'!$E$45+M32*'Pricing'!$E$44+M33*'Pricing'!$E$44+M34*'Pricing'!$E$44+M35*'Pricing'!$E$44+M36*'Pricing'!$E$43+M37*'Pricing'!$E$43+M38*'Pricing'!$E$43+M39*'Pricing'!$E$43</x:f>
        <x:v>9.894525</x:v>
      </x:c>
      <x:c r="N13" s="52" t="n">
        <x:f>N30*'Pricing'!$E$45+N31*'Pricing'!$E$45+N32*'Pricing'!$E$45+N33*'Pricing'!$E$44+N34*'Pricing'!$E$44+N35*'Pricing'!$E$44+N36*'Pricing'!$E$44+N37*'Pricing'!$E$43+N38*'Pricing'!$E$43+N39*'Pricing'!$E$43+N40*'Pricing'!$E$43</x:f>
        <x:v>14.642617500000002</x:v>
      </x:c>
      <x:c r="O13" s="52" t="n">
        <x:f>O30*'Pricing'!$E$45+O31*'Pricing'!$E$45+O32*'Pricing'!$E$45+O33*'Pricing'!$E$45+O34*'Pricing'!$E$44+O35*'Pricing'!$E$44+O36*'Pricing'!$E$44+O37*'Pricing'!$E$44+O38*'Pricing'!$E$43+O39*'Pricing'!$E$43+O40*'Pricing'!$E$43+O41*'Pricing'!$E$43</x:f>
        <x:v>20.314830000000004</x:v>
      </x:c>
      <x:c r="P13" s="52" t="n">
        <x:f>P30*'Pricing'!$E$46+P31*'Pricing'!$E$45+P32*'Pricing'!$E$45+P33*'Pricing'!$E$45+P34*'Pricing'!$E$45+P35*'Pricing'!$E$44+P36*'Pricing'!$E$44+P37*'Pricing'!$E$44+P38*'Pricing'!$E$44+P39*'Pricing'!$E$43+P40*'Pricing'!$E$43+P41*'Pricing'!$E$43+P42*'Pricing'!$E$43</x:f>
        <x:v>28.842000000000006</x:v>
      </x:c>
      <x:c r="Q13" s="52" t="n">
        <x:f>Q30*'Pricing'!$E$46+Q31*'Pricing'!$E$46+Q32*'Pricing'!$E$45+Q33*'Pricing'!$E$45+Q34*'Pricing'!$E$45+Q35*'Pricing'!$E$45+Q36*'Pricing'!$E$44+Q37*'Pricing'!$E$44+Q38*'Pricing'!$E$44+Q39*'Pricing'!$E$44+Q40*'Pricing'!$E$43+Q41*'Pricing'!$E$43+Q42*'Pricing'!$E$43+Q43*'Pricing'!$E$43</x:f>
        <x:v>41.907610000000005</x:v>
      </x:c>
      <x:c r="R13" s="52" t="n">
        <x:f>R30*'Pricing'!$E$46+R31*'Pricing'!$E$46+R32*'Pricing'!$E$46+R33*'Pricing'!$E$45+R34*'Pricing'!$E$45+R35*'Pricing'!$E$45+R36*'Pricing'!$E$45+R37*'Pricing'!$E$44+R38*'Pricing'!$E$44+R39*'Pricing'!$E$44+R40*'Pricing'!$E$44+R41*'Pricing'!$E$43+R42*'Pricing'!$E$43+R43*'Pricing'!$E$43+R44*'Pricing'!$E$43</x:f>
        <x:v>63.454518300000004</x:v>
      </x:c>
      <x:c r="S13" s="52" t="n">
        <x:f>S30*'Pricing'!$E$46+S31*'Pricing'!$E$46+S32*'Pricing'!$E$46+S33*'Pricing'!$E$46+S34*'Pricing'!$E$45+S35*'Pricing'!$E$45+S36*'Pricing'!$E$45+S37*'Pricing'!$E$45+S38*'Pricing'!$E$44+S39*'Pricing'!$E$44+S40*'Pricing'!$E$44+S41*'Pricing'!$E$44+S42*'Pricing'!$E$43+S43*'Pricing'!$E$43+S44*'Pricing'!$E$43+S45*'Pricing'!$E$43</x:f>
        <x:v>89.82126980000001</x:v>
      </x:c>
      <x:c r="T13" s="52" t="n">
        <x:f>T30*'Pricing'!$E$46+T31*'Pricing'!$E$46+T32*'Pricing'!$E$46+T33*'Pricing'!$E$46+T34*'Pricing'!$E$46+T35*'Pricing'!$E$45+T36*'Pricing'!$E$45+T37*'Pricing'!$E$45+T38*'Pricing'!$E$45+T39*'Pricing'!$E$44+T40*'Pricing'!$E$44+T41*'Pricing'!$E$44+T42*'Pricing'!$E$44+T43*'Pricing'!$E$43+T44*'Pricing'!$E$43+T45*'Pricing'!$E$43+T46*'Pricing'!$E$43</x:f>
        <x:v>126.36395500000003</x:v>
      </x:c>
    </x:row>
    <x:row r="14" ht="25" customHeight="1">
      <x:c r="A14" s="2"/>
      <x:c r="B14" s="2"/>
      <x:c r="C14" s="32" t="str">
        <x:v>Connected customers</x:v>
      </x:c>
      <x:c r="D14" s="52" t="n">
        <x:f>D30*'Pricing'!$F$43</x:f>
        <x:v>0</x:v>
      </x:c>
      <x:c r="E14" s="52" t="n">
        <x:f>E30*'Pricing'!$F$43+E31*'Pricing'!$F$43</x:f>
        <x:v>0</x:v>
      </x:c>
      <x:c r="F14" s="52" t="n">
        <x:f>F30*'Pricing'!$F$43+F31*'Pricing'!$F$43+F32*'Pricing'!$F$43</x:f>
        <x:v>0</x:v>
      </x:c>
      <x:c r="G14" s="52" t="n">
        <x:f>G30*'Pricing'!$F$43+G31*'Pricing'!$F$43+G32*'Pricing'!$F$43+G33*'Pricing'!$F$43</x:f>
        <x:v>0</x:v>
      </x:c>
      <x:c r="H14" s="52" t="n">
        <x:f>H30*'Pricing'!$F$44+H31*'Pricing'!$F$43+H32*'Pricing'!$F$43+H33*'Pricing'!$F$43+H34*'Pricing'!$F$43</x:f>
        <x:v>0</x:v>
      </x:c>
      <x:c r="I14" s="52" t="n">
        <x:f>I30*'Pricing'!$F$44+I31*'Pricing'!$F$44+I32*'Pricing'!$F$43+I33*'Pricing'!$F$43+I34*'Pricing'!$F$43+I35*'Pricing'!$F$43</x:f>
        <x:v>0.36000000000000004</x:v>
      </x:c>
      <x:c r="J14" s="52" t="n">
        <x:f>J30*'Pricing'!$F$44+J31*'Pricing'!$F$44+J32*'Pricing'!$F$44+J33*'Pricing'!$F$43+J34*'Pricing'!$F$43+J35*'Pricing'!$F$43+J36*'Pricing'!$F$43</x:f>
        <x:v>1.0125000000000002</x:v>
      </x:c>
      <x:c r="K14" s="52" t="n">
        <x:f>K30*'Pricing'!$F$44+K31*'Pricing'!$F$44+K32*'Pricing'!$F$44+K33*'Pricing'!$F$44+K34*'Pricing'!$F$43+K35*'Pricing'!$F$43+K36*'Pricing'!$F$43+K37*'Pricing'!$F$43</x:f>
        <x:v>1.5750000000000002</x:v>
      </x:c>
      <x:c r="L14" s="52" t="n">
        <x:f>L30*'Pricing'!$F$45+L31*'Pricing'!$F$44+L32*'Pricing'!$F$44+L33*'Pricing'!$F$44+L34*'Pricing'!$F$44+L35*'Pricing'!$F$43+L36*'Pricing'!$F$43+L37*'Pricing'!$F$43+L38*'Pricing'!$F$43</x:f>
        <x:v>2.25</x:v>
      </x:c>
      <x:c r="M14" s="52" t="n">
        <x:f>M30*'Pricing'!$F$45+M31*'Pricing'!$F$45+M32*'Pricing'!$F$44+M33*'Pricing'!$F$44+M34*'Pricing'!$F$44+M35*'Pricing'!$F$44+M36*'Pricing'!$F$43+M37*'Pricing'!$F$43+M38*'Pricing'!$F$43+M39*'Pricing'!$F$43</x:f>
        <x:v>3.684575</x:v>
      </x:c>
      <x:c r="N14" s="52" t="n">
        <x:f>N30*'Pricing'!$F$45+N31*'Pricing'!$F$45+N32*'Pricing'!$F$45+N33*'Pricing'!$F$44+N34*'Pricing'!$F$44+N35*'Pricing'!$F$44+N36*'Pricing'!$F$44+N37*'Pricing'!$F$43+N38*'Pricing'!$F$43+N39*'Pricing'!$F$43+N40*'Pricing'!$F$43</x:f>
        <x:v>5.967622500000001</x:v>
      </x:c>
      <x:c r="O14" s="52" t="n">
        <x:f>O30*'Pricing'!$F$45+O31*'Pricing'!$F$45+O32*'Pricing'!$F$45+O33*'Pricing'!$F$45+O34*'Pricing'!$F$44+O35*'Pricing'!$F$44+O36*'Pricing'!$F$44+O37*'Pricing'!$F$44+O38*'Pricing'!$F$43+O39*'Pricing'!$F$43+O40*'Pricing'!$F$43+O41*'Pricing'!$F$43</x:f>
        <x:v>8.462110000000001</x:v>
      </x:c>
      <x:c r="P14" s="52" t="n">
        <x:f>P30*'Pricing'!$F$46+P31*'Pricing'!$F$45+P32*'Pricing'!$F$45+P33*'Pricing'!$F$45+P34*'Pricing'!$F$45+P35*'Pricing'!$F$44+P36*'Pricing'!$F$44+P37*'Pricing'!$F$44+P38*'Pricing'!$F$44+P39*'Pricing'!$F$43+P40*'Pricing'!$F$43+P41*'Pricing'!$F$43+P42*'Pricing'!$F$43</x:f>
        <x:v>12.029000000000003</x:v>
      </x:c>
      <x:c r="Q14" s="52" t="n">
        <x:f>Q30*'Pricing'!$F$46+Q31*'Pricing'!$F$46+Q32*'Pricing'!$F$45+Q33*'Pricing'!$F$45+Q34*'Pricing'!$F$45+Q35*'Pricing'!$F$45+Q36*'Pricing'!$F$44+Q37*'Pricing'!$F$44+Q38*'Pricing'!$F$44+Q39*'Pricing'!$F$44+Q40*'Pricing'!$F$43+Q41*'Pricing'!$F$43+Q42*'Pricing'!$F$43+Q43*'Pricing'!$F$43</x:f>
        <x:v>17.898588500000002</x:v>
      </x:c>
      <x:c r="R14" s="52" t="n">
        <x:f>R30*'Pricing'!$F$46+R31*'Pricing'!$F$46+R32*'Pricing'!$F$46+R33*'Pricing'!$F$45+R34*'Pricing'!$F$45+R35*'Pricing'!$F$45+R36*'Pricing'!$F$45+R37*'Pricing'!$F$44+R38*'Pricing'!$F$44+R39*'Pricing'!$F$44+R40*'Pricing'!$F$44+R41*'Pricing'!$F$43+R42*'Pricing'!$F$43+R43*'Pricing'!$F$43+R44*'Pricing'!$F$43</x:f>
        <x:v>27.485339250000003</x:v>
      </x:c>
      <x:c r="S14" s="52" t="n">
        <x:f>S30*'Pricing'!$F$46+S31*'Pricing'!$F$46+S32*'Pricing'!$F$46+S33*'Pricing'!$F$46+S34*'Pricing'!$F$45+S35*'Pricing'!$F$45+S36*'Pricing'!$F$45+S37*'Pricing'!$F$45+S38*'Pricing'!$F$44+S39*'Pricing'!$F$44+S40*'Pricing'!$F$44+S41*'Pricing'!$F$44+S42*'Pricing'!$F$43+S43*'Pricing'!$F$43+S44*'Pricing'!$F$43+S45*'Pricing'!$F$43</x:f>
        <x:v>38.91199800000001</x:v>
      </x:c>
      <x:c r="T14" s="52" t="n">
        <x:f>T30*'Pricing'!$F$46+T31*'Pricing'!$F$46+T32*'Pricing'!$F$46+T33*'Pricing'!$F$46+T34*'Pricing'!$F$46+T35*'Pricing'!$F$45+T36*'Pricing'!$F$45+T37*'Pricing'!$F$45+T38*'Pricing'!$F$45+T39*'Pricing'!$F$44+T40*'Pricing'!$F$44+T41*'Pricing'!$F$44+T42*'Pricing'!$F$44+T43*'Pricing'!$F$43+T44*'Pricing'!$F$43+T45*'Pricing'!$F$43+T46*'Pricing'!$F$43</x:f>
        <x:v>54.873745000000014</x:v>
      </x:c>
    </x:row>
    <x:row r="15" ht="25" customHeight="1">
      <x:c r="A15" s="2"/>
      <x:c r="B15" s="2"/>
      <x:c r="C15" s="32"/>
      <x:c r="D15" s="3"/>
      <x:c r="E15" s="3"/>
      <x:c r="F15" s="3"/>
      <x:c r="G15" s="3"/>
      <x:c r="H15" s="3"/>
      <x:c r="I15" s="3"/>
      <x:c r="J15" s="3"/>
      <x:c r="K15" s="3"/>
      <x:c r="L15" s="3"/>
      <x:c r="M15" s="3"/>
      <x:c r="N15" s="3"/>
      <x:c r="O15" s="3"/>
      <x:c r="P15" s="3"/>
      <x:c r="Q15" s="3"/>
      <x:c r="R15" s="3"/>
      <x:c r="S15" s="3"/>
      <x:c r="T15" s="3"/>
    </x:row>
    <x:row r="16" ht="25" customHeight="1">
      <x:c r="A16" s="2"/>
      <x:c r="B16" s="2"/>
      <x:c r="C16" s="60" t="str">
        <x:v>Contracted ARR, EUR</x:v>
      </x:c>
      <x:c r="D16" s="40" t="n">
        <x:f>SUMPRODUCT(D30:D46,D50:D66)</x:f>
        <x:v>0</x:v>
      </x:c>
      <x:c r="E16" s="40" t="n">
        <x:f>SUMPRODUCT(E30:E46,E50:E66)</x:f>
        <x:v>81140.63894868626</x:v>
      </x:c>
      <x:c r="F16" s="40" t="n">
        <x:f>SUMPRODUCT(F30:F46,F50:F66)</x:f>
        <x:v>228208.0470431801</x:v>
      </x:c>
      <x:c r="G16" s="40" t="n">
        <x:f>SUMPRODUCT(G30:G46,G50:G66)</x:f>
        <x:v>354990.2954005024</x:v>
      </x:c>
      <x:c r="H16" s="40" t="n">
        <x:f>SUMPRODUCT(H30:H46,H50:H66)</x:f>
        <x:v>507128.99342928914</x:v>
      </x:c>
      <x:c r="I16" s="40" t="n">
        <x:f>SUMPRODUCT(I30:I46,I50:I66)</x:f>
        <x:v>842703.9050792321</x:v>
      </x:c>
      <x:c r="J16" s="40" t="n">
        <x:f>SUMPRODUCT(J30:J46,J50:J66)</x:f>
        <x:v>1343992.0765178856</x:v>
      </x:c>
      <x:c r="K16" s="40" t="n">
        <x:f>SUMPRODUCT(K30:K46,K50:K66)</x:f>
        <x:v>1953634.2158509353</x:v>
      </x:c>
      <x:c r="L16" s="40" t="n">
        <x:f>SUMPRODUCT(L30:L46,L50:L66)</x:f>
        <x:v>2878606.2171095847</x:v>
      </x:c>
      <x:c r="M16" s="40" t="n">
        <x:f>SUMPRODUCT(M30:M46,M50:M66)</x:f>
        <x:v>4512119.57081945</x:v>
      </x:c>
      <x:c r="N16" s="40" t="n">
        <x:f>SUMPRODUCT(N30:N46,N50:N66)</x:f>
        <x:v>7218214.8696849225</x:v>
      </x:c>
      <x:c r="O16" s="40" t="n">
        <x:f>SUMPRODUCT(O30:O46,O50:O66)</x:f>
        <x:v>10504412.228767168</x:v>
      </x:c>
      <x:c r="P16" s="40" t="n">
        <x:f>SUMPRODUCT(P30:P46,P50:P66)</x:f>
        <x:v>15038564.517658621</x:v>
      </x:c>
      <x:c r="Q16" s="40" t="n">
        <x:f>SUMPRODUCT(Q30:Q46,Q50:Q66)</x:f>
        <x:v>22217101.776142776</x:v>
      </x:c>
      <x:c r="R16" s="40" t="n">
        <x:f>SUMPRODUCT(R30:R46,R50:R66)</x:f>
        <x:v>32483493.89434788</x:v>
      </x:c>
      <x:c r="S16" s="40" t="n">
        <x:f>SUMPRODUCT(S30:S46,S50:S66)</x:f>
        <x:v>44065426.02568871</x:v>
      </x:c>
      <x:c r="T16" s="40" t="n">
        <x:f>SUMPRODUCT(T30:T46,T50:T66)</x:f>
        <x:v>54040269.46529533</x:v>
      </x:c>
    </x:row>
    <x:row r="17" ht="25" customHeight="1">
      <x:c r="A17" s="2"/>
      <x:c r="B17" s="2"/>
      <x:c r="C17" s="60" t="str">
        <x:v>Subscription revenue, EUR</x:v>
      </x:c>
      <x:c r="D17" s="40" t="n">
        <x:f>SUM(D70:D86)</x:f>
        <x:v>0</x:v>
      </x:c>
      <x:c r="E17" s="40" t="n">
        <x:f>SUM(E70:E86)</x:f>
        <x:v>20285.159737171565</x:v>
      </x:c>
      <x:c r="F17" s="40" t="n">
        <x:f>SUM(F70:F86)</x:f>
        <x:v>57052.01176079502</x:v>
      </x:c>
      <x:c r="G17" s="40" t="n">
        <x:f>SUM(G70:G86)</x:f>
        <x:v>88747.5738501256</x:v>
      </x:c>
      <x:c r="H17" s="40" t="n">
        <x:f>SUM(H70:H86)</x:f>
        <x:v>126782.24835732229</x:v>
      </x:c>
      <x:c r="I17" s="40" t="n">
        <x:f>SUM(I70:I86)</x:f>
        <x:v>210675.97626980802</x:v>
      </x:c>
      <x:c r="J17" s="40" t="n">
        <x:f>SUM(J70:J86)</x:f>
        <x:v>335998.0191294714</x:v>
      </x:c>
      <x:c r="K17" s="40" t="n">
        <x:f>SUM(K70:K86)</x:f>
        <x:v>488408.55396273383</x:v>
      </x:c>
      <x:c r="L17" s="40" t="n">
        <x:f>SUM(L70:L86)</x:f>
        <x:v>719651.5542773962</x:v>
      </x:c>
      <x:c r="M17" s="40" t="n">
        <x:f>SUM(M70:M86)</x:f>
        <x:v>1128029.8927048624</x:v>
      </x:c>
      <x:c r="N17" s="40" t="n">
        <x:f>SUM(N70:N86)</x:f>
        <x:v>1804553.7174212306</x:v>
      </x:c>
      <x:c r="O17" s="40" t="n">
        <x:f>SUM(O70:O86)</x:f>
        <x:v>2626103.057191792</x:v>
      </x:c>
      <x:c r="P17" s="40" t="n">
        <x:f>SUM(P70:P86)</x:f>
        <x:v>3759641.1294146553</x:v>
      </x:c>
      <x:c r="Q17" s="40" t="n">
        <x:f>SUM(Q70:Q86)</x:f>
        <x:v>5554275.444035694</x:v>
      </x:c>
      <x:c r="R17" s="40" t="n">
        <x:f>SUM(R70:R86)</x:f>
        <x:v>8120873.47358697</x:v>
      </x:c>
      <x:c r="S17" s="40" t="n">
        <x:f>SUM(S70:S86)</x:f>
        <x:v>11016356.506422177</x:v>
      </x:c>
      <x:c r="T17" s="40" t="n">
        <x:f>SUM(T70:T86)</x:f>
        <x:v>13510067.366323832</x:v>
      </x:c>
    </x:row>
    <x:row r="18" ht="25" customHeight="1">
      <x:c r="A18" s="2"/>
      <x:c r="B18" s="2"/>
      <x:c r="C18" s="60" t="str">
        <x:v>Annual invoices, EUR</x:v>
      </x:c>
      <x:c r="D18" s="40" t="n">
        <x:f>SUM(D90:D106)</x:f>
        <x:v>0</x:v>
      </x:c>
      <x:c r="E18" s="40" t="n">
        <x:f>SUM(E90:E106)</x:f>
        <x:v>81140.63894868626</x:v>
      </x:c>
      <x:c r="F18" s="40" t="n">
        <x:f>SUM(F90:F106)</x:f>
        <x:v>147067.40809449385</x:v>
      </x:c>
      <x:c r="G18" s="40" t="n">
        <x:f>SUM(G90:G106)</x:f>
        <x:v>126782.24835732229</x:v>
      </x:c>
      <x:c r="H18" s="40" t="n">
        <x:f>SUM(H90:H106)</x:f>
        <x:v>152138.69802878675</x:v>
      </x:c>
      <x:c r="I18" s="40" t="n">
        <x:f>SUM(I90:I106)</x:f>
        <x:v>416715.5505986291</x:v>
      </x:c>
      <x:c r="J18" s="40" t="n">
        <x:f>SUM(J90:J106)</x:f>
        <x:v>648355.5795331472</x:v>
      </x:c>
      <x:c r="K18" s="40" t="n">
        <x:f>SUM(K90:K106)</x:f>
        <x:v>736424.3876903724</x:v>
      </x:c>
      <x:c r="L18" s="40" t="n">
        <x:f>SUM(L90:L106)</x:f>
        <x:v>1077110.6992874357</x:v>
      </x:c>
      <x:c r="M18" s="40" t="n">
        <x:f>SUM(M90:M106)</x:f>
        <x:v>2050228.9043084942</x:v>
      </x:c>
      <x:c r="N18" s="40" t="n">
        <x:f>SUM(N90:N106)</x:f>
        <x:v>3354450.8783986205</x:v>
      </x:c>
      <x:c r="O18" s="40" t="n">
        <x:f>SUM(O90:O106)</x:f>
        <x:v>4022621.746772618</x:v>
      </x:c>
      <x:c r="P18" s="40" t="n">
        <x:f>SUM(P90:P106)</x:f>
        <x:v>5611262.988178887</x:v>
      </x:c>
      <x:c r="Q18" s="40" t="n">
        <x:f>SUM(Q90:Q106)</x:f>
        <x:v>9228766.162792647</x:v>
      </x:c>
      <x:c r="R18" s="40" t="n">
        <x:f>SUM(R90:R106)</x:f>
        <x:v>13620842.996603727</x:v>
      </x:c>
      <x:c r="S18" s="40" t="n">
        <x:f>SUM(S90:S106)</x:f>
        <x:v>15604553.878113441</x:v>
      </x:c>
      <x:c r="T18" s="40" t="n">
        <x:f>SUM(T90:T106)</x:f>
        <x:v>15586106.427785518</x:v>
      </x:c>
    </x:row>
    <x:row r="19" ht="25" customHeight="1">
      <x:c r="A19" s="2"/>
      <x:c r="B19" s="2"/>
      <x:c r="C19" s="32" t="str">
        <x:v>New direct annual bookings, EUR</x:v>
      </x:c>
      <x:c r="D19" s="52" t="n">
        <x:f>'Sales'!D26*'Inputs'!D22*D50</x:f>
        <x:v>0</x:v>
      </x:c>
      <x:c r="E19" s="52" t="n">
        <x:f>'Sales'!E26*'Inputs'!E22*E51</x:f>
        <x:v>81140.63894868626</x:v>
      </x:c>
      <x:c r="F19" s="52" t="n">
        <x:f>'Sales'!F26*'Inputs'!E22*F52</x:f>
        <x:v>146700.65645336043</x:v>
      </x:c>
      <x:c r="G19" s="52" t="n">
        <x:f>'Sales'!G26*'Inputs'!E22*G53</x:f>
        <x:v>124277.30035906644</x:v>
      </x:c>
      <x:c r="H19" s="52" t="n">
        <x:f>'Sales'!H26*'Inputs'!E22*H54</x:f>
        <x:v>141748.49605776859</x:v>
      </x:c>
      <x:c r="I19" s="52" t="n">
        <x:f>'Sales'!I26*'Inputs'!F22*I55</x:f>
        <x:v>284188.76236894535</x:v>
      </x:c>
      <x:c r="J19" s="52" t="n">
        <x:f>'Sales'!J26*'Inputs'!F22*J56</x:f>
        <x:v>411719.7362517058</x:v>
      </x:c>
      <x:c r="K19" s="52" t="n">
        <x:f>'Sales'!K26*'Inputs'!F22*K57</x:f>
        <x:v>485248.7354447763</x:v>
      </x:c>
      <x:c r="L19" s="52" t="n">
        <x:f>'Sales'!L26*'Inputs'!F22*L58</x:f>
        <x:v>753281.5756988891</x:v>
      </x:c>
      <x:c r="M19" s="52" t="n">
        <x:f>'Sales'!M26*'Inputs'!G22*M59</x:f>
        <x:v>1323602.719769491</x:v>
      </x:c>
      <x:c r="N19" s="52" t="n">
        <x:f>'Sales'!N26*'Inputs'!G22*N60</x:f>
        <x:v>2198630.8338181167</x:v>
      </x:c>
      <x:c r="O19" s="52" t="n">
        <x:f>'Sales'!O26*'Inputs'!G22*O61</x:f>
        <x:v>2606091.1106404774</x:v>
      </x:c>
      <x:c r="P19" s="52" t="n">
        <x:f>'Sales'!P26*'Inputs'!G22*P62</x:f>
        <x:v>3574067.808878369</x:v>
      </x:c>
      <x:c r="Q19" s="52" t="n">
        <x:f>'Sales'!Q26*'Inputs'!H22*Q63</x:f>
        <x:v>5661697.728533936</x:v>
      </x:c>
      <x:c r="R19" s="52" t="n">
        <x:f>'Sales'!R26*'Inputs'!H22*R64</x:f>
        <x:v>7900535.089197868</x:v>
      </x:c>
      <x:c r="S19" s="52" t="n">
        <x:f>'Sales'!S26*'Inputs'!H22*S65</x:f>
        <x:v>8811030.921248494</x:v>
      </x:c>
      <x:c r="T19" s="52" t="n">
        <x:f>'Sales'!T26*'Inputs'!H22*T66</x:f>
        <x:v>6991132.053329403</x:v>
      </x:c>
    </x:row>
    <x:row r="20" ht="25" customHeight="1">
      <x:c r="A20" s="2"/>
      <x:c r="B20" s="2"/>
      <x:c r="C20" s="32" t="str">
        <x:v>Direct renewal bookings, EUR</x:v>
      </x:c>
      <x:c r="D20" s="3" t="n">
        <x:f>0</x:f>
        <x:v>0</x:v>
      </x:c>
      <x:c r="E20" s="3" t="n">
        <x:f>0</x:f>
        <x:v>0</x:v>
      </x:c>
      <x:c r="F20" s="3" t="n">
        <x:f>0</x:f>
        <x:v>0</x:v>
      </x:c>
      <x:c r="G20" s="3" t="n">
        <x:f>0</x:f>
        <x:v>0</x:v>
      </x:c>
      <x:c r="H20" s="52" t="n">
        <x:f>IF('Sales'!D25=0,0,H90*'Sales'!D26/'Sales'!D25)</x:f>
        <x:v>0</x:v>
      </x:c>
      <x:c r="I20" s="52" t="n">
        <x:f>IF('Sales'!E25=0,0,I91*'Sales'!E26/'Sales'!E25)</x:f>
        <x:v>90760.2561799801</x:v>
      </x:c>
      <x:c r="J20" s="52" t="n">
        <x:f>IF('Sales'!F25=0,0,J92*'Sales'!F26/'Sales'!F25)</x:f>
        <x:v>164092.7324949765</x:v>
      </x:c>
      <x:c r="K20" s="52" t="n">
        <x:f>IF('Sales'!G25=0,0,K93*'Sales'!G26/'Sales'!G25)</x:f>
        <x:v>139010.9785193875</x:v>
      </x:c>
      <x:c r="L20" s="52" t="n">
        <x:f>IF('Sales'!D25=0,0,L90*'Sales'!D26/'Sales'!D25)+IF('Sales'!H25=0,0,L94*'Sales'!H26/'Sales'!H25)</x:f>
        <x:v>158553.46940841747</x:v>
      </x:c>
      <x:c r="M20" s="52" t="n">
        <x:f>IF('Sales'!E25=0,0,M91*'Sales'!E26/'Sales'!E25)+IF('Sales'!I25=0,0,M95*'Sales'!I26/'Sales'!I25)</x:f>
        <x:v>420556.51157670526</x:v>
      </x:c>
      <x:c r="N20" s="52" t="n">
        <x:f>IF('Sales'!F25=0,0,N92*'Sales'!F26/'Sales'!F25)+IF('Sales'!J25=0,0,N96*'Sales'!J26/'Sales'!J25)</x:f>
        <x:v>643966.8636137573</x:v>
      </x:c>
      <x:c r="O20" s="52" t="n">
        <x:f>IF('Sales'!G25=0,0,O93*'Sales'!G26/'Sales'!G25)+IF('Sales'!K25=0,0,O97*'Sales'!K26/'Sales'!K25)</x:f>
        <x:v>701115.5046510199</x:v>
      </x:c>
      <x:c r="P20" s="52" t="n">
        <x:f>IF('Sales'!D25=0,0,P90*'Sales'!D26/'Sales'!D25)+IF('Sales'!H25=0,0,P94*'Sales'!H26/'Sales'!H25)+IF('Sales'!L25=0,0,P98*'Sales'!L26/'Sales'!L25)</x:f>
        <x:v>1027490.585253949</x:v>
      </x:c>
      <x:c r="Q20" s="52" t="n">
        <x:f>IF('Sales'!E25=0,0,Q91*'Sales'!E26/'Sales'!E25)+IF('Sales'!I25=0,0,Q95*'Sales'!I26/'Sales'!I25)+IF('Sales'!M25=0,0,Q99*'Sales'!M26/'Sales'!M25)</x:f>
        <x:v>1948185.812908821</x:v>
      </x:c>
      <x:c r="R20" s="52" t="n">
        <x:f>IF('Sales'!F25=0,0,R92*'Sales'!F26/'Sales'!F25)+IF('Sales'!J25=0,0,R96*'Sales'!J26/'Sales'!J25)+IF('Sales'!N25=0,0,R100*'Sales'!N26/'Sales'!N25)</x:f>
        <x:v>3177201.418715233</x:v>
      </x:c>
      <x:c r="S20" s="52" t="n">
        <x:f>IF('Sales'!G25=0,0,S93*'Sales'!G26/'Sales'!G25)+IF('Sales'!K25=0,0,S97*'Sales'!K26/'Sales'!K25)+IF('Sales'!O25=0,0,S101*'Sales'!O26/'Sales'!O25)</x:f>
        <x:v>3703758.3740087254</x:v>
      </x:c>
      <x:c r="T20" s="52" t="n">
        <x:f>IF('Sales'!D25=0,0,T90*'Sales'!D26/'Sales'!D25)+IF('Sales'!H25=0,0,T94*'Sales'!H26/'Sales'!H25)+IF('Sales'!L25=0,0,T98*'Sales'!L26/'Sales'!L25)+IF('Sales'!P25=0,0,T102*'Sales'!P26/'Sales'!P25)</x:f>
        <x:v>5151693.421035871</x:v>
      </x:c>
    </x:row>
    <x:row r="21" ht="25" customHeight="1">
      <x:c r="A21" s="2"/>
      <x:c r="B21" s="2"/>
      <x:c r="C21" s="32" t="str">
        <x:v>Partner subscription revenue, EUR</x:v>
      </x:c>
      <x:c r="D21" s="3" t="n">
        <x:f>SUM(D110:D126)</x:f>
        <x:v>0</x:v>
      </x:c>
      <x:c r="E21" s="3" t="n">
        <x:f>SUM(E110:E126)</x:f>
        <x:v>0</x:v>
      </x:c>
      <x:c r="F21" s="3" t="n">
        <x:f>SUM(F110:F126)</x:f>
        <x:v>91.68791028335315</x:v>
      </x:c>
      <x:c r="G21" s="3" t="n">
        <x:f>SUM(G110:G126)</x:f>
        <x:v>717.9249098473119</x:v>
      </x:c>
      <x:c r="H21" s="3" t="n">
        <x:f>SUM(H110:H126)</x:f>
        <x:v>3315.475402601857</x:v>
      </x:c>
      <x:c r="I21" s="3" t="n">
        <x:f>SUM(I110:I126)</x:f>
        <x:v>13757.108415027753</x:v>
      </x:c>
      <x:c r="J21" s="3" t="n">
        <x:f>SUM(J110:J126)</x:f>
        <x:v>31801.198201360632</x:v>
      </x:c>
      <x:c r="K21" s="3" t="n">
        <x:f>SUM(K110:K126)</x:f>
        <x:v>59216.12963334881</x:v>
      </x:c>
      <x:c r="L21" s="3" t="n">
        <x:f>SUM(L110:L126)</x:f>
        <x:v>97937.49268562658</x:v>
      </x:c>
      <x:c r="M21" s="3" t="n">
        <x:f>SUM(M110:M126)</x:f>
        <x:v>164013.27791377515</x:v>
      </x:c>
      <x:c r="N21" s="3" t="n">
        <x:f>SUM(N110:N126)</x:f>
        <x:v>273840.7954588456</x:v>
      </x:c>
      <x:c r="O21" s="3" t="n">
        <x:f>SUM(O110:O126)</x:f>
        <x:v>424653.40989757376</x:v>
      </x:c>
      <x:c r="P21" s="3" t="n">
        <x:f>SUM(P110:P126)</x:f>
        <x:v>635760.6448641837</x:v>
      </x:c>
      <x:c r="Q21" s="3" t="n">
        <x:f>SUM(Q110:Q126)</x:f>
        <x:v>963963.8819610818</x:v>
      </x:c>
      <x:c r="R21" s="3" t="n">
        <x:f>SUM(R110:R126)</x:f>
        <x:v>1471777.2088920516</x:v>
      </x:c>
      <x:c r="S21" s="3" t="n">
        <x:f>SUM(S110:S126)</x:f>
        <x:v>2065364.5717358273</x:v>
      </x:c>
      <x:c r="T21" s="3" t="n">
        <x:f>SUM(T110:T126)</x:f>
        <x:v>2673758.661579246</x:v>
      </x:c>
    </x:row>
    <x:row r="22" ht="25" customHeight="1">
      <x:c r="A22" s="2"/>
      <x:c r="B22" s="2"/>
      <x:c r="C22" s="32" t="str">
        <x:v>New Map ACV, EUR</x:v>
      </x:c>
      <x:c r="D22" s="52" t="n">
        <x:f>'Pricing'!D36</x:f>
        <x:v>13390.738809551256</x:v>
      </x:c>
      <x:c r="E22" s="52" t="n">
        <x:f>'Pricing'!E36</x:f>
        <x:v>20285.159737171565</x:v>
      </x:c>
      <x:c r="F22" s="52" t="n">
        <x:f>'Pricing'!E36</x:f>
        <x:v>20285.159737171565</x:v>
      </x:c>
      <x:c r="G22" s="52" t="n">
        <x:f>'Pricing'!E36</x:f>
        <x:v>20285.159737171565</x:v>
      </x:c>
      <x:c r="H22" s="52" t="n">
        <x:f>'Pricing'!E36</x:f>
        <x:v>20285.159737171565</x:v>
      </x:c>
      <x:c r="I22" s="52" t="n">
        <x:f>'Pricing'!F36</x:f>
        <x:v>31024.894174291392</x:v>
      </x:c>
      <x:c r="J22" s="52" t="n">
        <x:f>'Pricing'!F36</x:f>
        <x:v>31024.894174291392</x:v>
      </x:c>
      <x:c r="K22" s="52" t="n">
        <x:f>'Pricing'!F36</x:f>
        <x:v>31024.894174291392</x:v>
      </x:c>
      <x:c r="L22" s="52" t="n">
        <x:f>'Pricing'!F36</x:f>
        <x:v>31024.894174291392</x:v>
      </x:c>
      <x:c r="M22" s="52" t="n">
        <x:f>'Pricing'!G36</x:f>
        <x:v>34472.10463810155</x:v>
      </x:c>
      <x:c r="N22" s="52" t="n">
        <x:f>'Pricing'!G36</x:f>
        <x:v>34472.10463810155</x:v>
      </x:c>
      <x:c r="O22" s="52" t="n">
        <x:f>'Pricing'!G36</x:f>
        <x:v>34472.10463810155</x:v>
      </x:c>
      <x:c r="P22" s="52" t="n">
        <x:f>'Pricing'!G36</x:f>
        <x:v>34472.10463810155</x:v>
      </x:c>
      <x:c r="Q22" s="52" t="n">
        <x:f>'Pricing'!H36</x:f>
        <x:v>41562.896259976034</x:v>
      </x:c>
      <x:c r="R22" s="52" t="n">
        <x:f>'Pricing'!H36</x:f>
        <x:v>41562.896259976034</x:v>
      </x:c>
      <x:c r="S22" s="52" t="n">
        <x:f>'Pricing'!H36</x:f>
        <x:v>41562.896259976034</x:v>
      </x:c>
      <x:c r="T22" s="52" t="n">
        <x:f>'Pricing'!H36</x:f>
        <x:v>41562.896259976034</x:v>
      </x:c>
    </x:row>
    <x:row r="23" ht="25" customHeight="1">
      <x:c r="A23" s="2"/>
      <x:c r="B23" s="2"/>
      <x:c r="C23" s="32"/>
      <x:c r="D23" s="3"/>
      <x:c r="E23" s="3"/>
      <x:c r="F23" s="3"/>
      <x:c r="G23" s="3"/>
      <x:c r="H23" s="3"/>
      <x:c r="I23" s="3"/>
      <x:c r="J23" s="3"/>
      <x:c r="K23" s="3"/>
      <x:c r="L23" s="3"/>
      <x:c r="M23" s="3"/>
      <x:c r="N23" s="3"/>
      <x:c r="O23" s="3"/>
      <x:c r="P23" s="3"/>
      <x:c r="Q23" s="3"/>
      <x:c r="R23" s="3"/>
      <x:c r="S23" s="3"/>
      <x:c r="T23" s="3"/>
    </x:row>
    <x:row r="24" ht="25" customHeight="1">
      <x:c r="A24" s="2"/>
      <x:c r="B24" s="2"/>
      <x:c r="C24" s="60" t="str">
        <x:v>Recurring technical cost, EUR</x:v>
      </x:c>
      <x:c r="D24" s="40" t="n">
        <x:f>SUM(D130:D146)</x:f>
        <x:v>0</x:v>
      </x:c>
      <x:c r="E24" s="40" t="n">
        <x:f>SUM(E130:E146)</x:f>
        <x:v>2069.79249225</x:v>
      </x:c>
      <x:c r="F24" s="40" t="n">
        <x:f>SUM(F130:F146)</x:f>
        <x:v>5821.291384453125</x:v>
      </x:c>
      <x:c r="G24" s="40" t="n">
        <x:f>SUM(G130:G146)</x:f>
        <x:v>9055.34215359375</x:v>
      </x:c>
      <x:c r="H24" s="40" t="n">
        <x:f>SUM(H130:H146)</x:f>
        <x:v>12936.2030765625</x:v>
      </x:c>
      <x:c r="I24" s="40" t="n">
        <x:f>SUM(I130:I146)</x:f>
        <x:v>20298.876924270568</x:v>
      </x:c>
      <x:c r="J24" s="40" t="n">
        <x:f>SUM(J130:J146)</x:f>
        <x:v>30780.69544794145</x:v>
      </x:c>
      <x:c r="K24" s="40" t="n">
        <x:f>SUM(K130:K146)</x:f>
        <x:v>43743.60244709496</x:v>
      </x:c>
      <x:c r="L24" s="40" t="n">
        <x:f>SUM(L130:L146)</x:f>
        <x:v>63577.80533790402</x:v>
      </x:c>
      <x:c r="M24" s="40" t="n">
        <x:f>SUM(M130:M146)</x:f>
        <x:v>98083.32099125504</x:v>
      </x:c>
      <x:c r="N24" s="40" t="n">
        <x:f>SUM(N130:N146)</x:f>
        <x:v>153510.5569259415</x:v>
      </x:c>
      <x:c r="O24" s="40" t="n">
        <x:f>SUM(O130:O146)</x:f>
        <x:v>220935.9849146923</x:v>
      </x:c>
      <x:c r="P24" s="40" t="n">
        <x:f>SUM(P130:P146)</x:f>
        <x:v>313713.82746822655</x:v>
      </x:c>
      <x:c r="Q24" s="40" t="n">
        <x:f>SUM(Q130:Q146)</x:f>
        <x:v>457638.6453725784</x:v>
      </x:c>
      <x:c r="R24" s="40" t="n">
        <x:f>SUM(R130:R146)</x:f>
        <x:v>657317.7037774724</x:v>
      </x:c>
      <x:c r="S24" s="40" t="n">
        <x:f>SUM(S130:S146)</x:f>
        <x:v>881712.7032936403</x:v>
      </x:c>
      <x:c r="T24" s="40" t="n">
        <x:f>SUM(T130:T146)</x:f>
        <x:v>1068153.9499175586</x:v>
      </x:c>
    </x:row>
    <x:row r="25" ht="25" customHeight="1">
      <x:c r="A25" s="2"/>
      <x:c r="B25" s="2"/>
      <x:c r="C25" s="32" t="str">
        <x:v>Customer-borne local infrastructure, EUR</x:v>
      </x:c>
      <x:c r="D25" s="3" t="n">
        <x:f>SUM(D150:D166)</x:f>
        <x:v>0</x:v>
      </x:c>
      <x:c r="E25" s="3" t="n">
        <x:f>SUM(E150:E166)</x:f>
        <x:v>0</x:v>
      </x:c>
      <x:c r="F25" s="3" t="n">
        <x:f>SUM(F150:F166)</x:f>
        <x:v>0</x:v>
      </x:c>
      <x:c r="G25" s="3" t="n">
        <x:f>SUM(G150:G166)</x:f>
        <x:v>0</x:v>
      </x:c>
      <x:c r="H25" s="3" t="n">
        <x:f>SUM(H150:H166)</x:f>
        <x:v>0</x:v>
      </x:c>
      <x:c r="I25" s="3" t="n">
        <x:f>SUM(I150:I166)</x:f>
        <x:v>0</x:v>
      </x:c>
      <x:c r="J25" s="3" t="n">
        <x:f>SUM(J150:J166)</x:f>
        <x:v>0</x:v>
      </x:c>
      <x:c r="K25" s="3" t="n">
        <x:f>SUM(K150:K166)</x:f>
        <x:v>0</x:v>
      </x:c>
      <x:c r="L25" s="3" t="n">
        <x:f>SUM(L150:L166)</x:f>
        <x:v>0</x:v>
      </x:c>
      <x:c r="M25" s="3" t="n">
        <x:f>SUM(M150:M166)</x:f>
        <x:v>0</x:v>
      </x:c>
      <x:c r="N25" s="3" t="n">
        <x:f>SUM(N150:N166)</x:f>
        <x:v>0</x:v>
      </x:c>
      <x:c r="O25" s="3" t="n">
        <x:f>SUM(O150:O166)</x:f>
        <x:v>0</x:v>
      </x:c>
      <x:c r="P25" s="3" t="n">
        <x:f>SUM(P150:P166)</x:f>
        <x:v>0</x:v>
      </x:c>
      <x:c r="Q25" s="3" t="n">
        <x:f>SUM(Q150:Q166)</x:f>
        <x:v>0</x:v>
      </x:c>
      <x:c r="R25" s="3" t="n">
        <x:f>SUM(R150:R166)</x:f>
        <x:v>0</x:v>
      </x:c>
      <x:c r="S25" s="3" t="n">
        <x:f>SUM(S150:S166)</x:f>
        <x:v>0</x:v>
      </x:c>
      <x:c r="T25" s="3" t="n">
        <x:f>SUM(T150:T166)</x:f>
        <x:v>0</x:v>
      </x:c>
    </x:row>
    <x:row r="26" ht="25" customHeight="1">
      <x:c r="A26" s="2"/>
      <x:c r="B26" s="2"/>
      <x:c r="C26" s="32"/>
      <x:c r="D26" s="3"/>
      <x:c r="E26" s="3"/>
      <x:c r="F26" s="3"/>
      <x:c r="G26" s="3"/>
      <x:c r="H26" s="3"/>
      <x:c r="I26" s="3"/>
      <x:c r="J26" s="3"/>
      <x:c r="K26" s="3"/>
      <x:c r="L26" s="3"/>
      <x:c r="M26" s="3"/>
      <x:c r="N26" s="3"/>
      <x:c r="O26" s="3"/>
      <x:c r="P26" s="3"/>
      <x:c r="Q26" s="3"/>
      <x:c r="R26" s="3"/>
      <x:c r="S26" s="3"/>
      <x:c r="T26" s="3"/>
    </x:row>
    <x:row r="27" ht="25" customHeight="1">
      <x:c r="A27" s="2"/>
      <x:c r="B27" s="2"/>
      <x:c r="C27" s="32"/>
      <x:c r="D27" s="3"/>
      <x:c r="E27" s="3"/>
      <x:c r="F27" s="3"/>
      <x:c r="G27" s="3"/>
      <x:c r="H27" s="3"/>
      <x:c r="I27" s="3"/>
      <x:c r="J27" s="3"/>
      <x:c r="K27" s="3"/>
      <x:c r="L27" s="3"/>
      <x:c r="M27" s="3"/>
      <x:c r="N27" s="3"/>
      <x:c r="O27" s="3"/>
      <x:c r="P27" s="3"/>
      <x:c r="Q27" s="3"/>
      <x:c r="R27" s="3"/>
      <x:c r="S27" s="3"/>
      <x:c r="T27" s="3"/>
    </x:row>
    <x:row r="28" ht="25" customHeight="1">
      <x:c r="A28" s="2"/>
      <x:c r="B28" s="2"/>
      <x:c r="C28" s="32"/>
      <x:c r="D28" s="3"/>
      <x:c r="E28" s="3"/>
      <x:c r="F28" s="3"/>
      <x:c r="G28" s="3"/>
      <x:c r="H28" s="3"/>
      <x:c r="I28" s="3"/>
      <x:c r="J28" s="3"/>
      <x:c r="K28" s="3"/>
      <x:c r="L28" s="3"/>
      <x:c r="M28" s="3"/>
      <x:c r="N28" s="3"/>
      <x:c r="O28" s="3"/>
      <x:c r="P28" s="3"/>
      <x:c r="Q28" s="3"/>
      <x:c r="R28" s="3"/>
      <x:c r="S28" s="3"/>
      <x:c r="T28" s="3"/>
    </x:row>
    <x:row r="29" ht="27" customHeight="1">
      <x:c r="A29" s="2"/>
      <x:c r="B29" s="2"/>
      <x:c r="C29" s="61" t="str">
        <x:v>Active customer cohorts</x:v>
      </x:c>
      <x:c r="D29" s="15"/>
      <x:c r="E29" s="15"/>
      <x:c r="F29" s="15"/>
      <x:c r="G29" s="15"/>
      <x:c r="H29" s="15"/>
      <x:c r="I29" s="15"/>
      <x:c r="J29" s="15"/>
      <x:c r="K29" s="15"/>
      <x:c r="L29" s="15"/>
      <x:c r="M29" s="15"/>
      <x:c r="N29" s="15"/>
      <x:c r="O29" s="15"/>
      <x:c r="P29" s="15"/>
      <x:c r="Q29" s="15"/>
      <x:c r="R29" s="15"/>
      <x:c r="S29" s="15"/>
      <x:c r="T29" s="15"/>
    </x:row>
    <x:row r="30" ht="25" customHeight="1">
      <x:c r="A30" s="2"/>
      <x:c r="B30" s="2"/>
      <x:c r="C30" s="32" t="str">
        <x:v>Activated Q4:26</x:v>
      </x:c>
      <x:c r="D30" s="52" t="n">
        <x:f>'Sales'!D25*'Inputs'!D22</x:f>
        <x:v>0</x:v>
      </x:c>
      <x:c r="E30" s="3" t="n">
        <x:f>D30*1</x:f>
        <x:v>0</x:v>
      </x:c>
      <x:c r="F30" s="3" t="n">
        <x:f>E30*1</x:f>
        <x:v>0</x:v>
      </x:c>
      <x:c r="G30" s="3" t="n">
        <x:f>F30*1</x:f>
        <x:v>0</x:v>
      </x:c>
      <x:c r="H30" s="52" t="n">
        <x:f>G30*(1-'Inputs'!E27)</x:f>
        <x:v>0</x:v>
      </x:c>
      <x:c r="I30" s="3" t="n">
        <x:f>H30*1</x:f>
        <x:v>0</x:v>
      </x:c>
      <x:c r="J30" s="3" t="n">
        <x:f>I30*1</x:f>
        <x:v>0</x:v>
      </x:c>
      <x:c r="K30" s="3" t="n">
        <x:f>J30*1</x:f>
        <x:v>0</x:v>
      </x:c>
      <x:c r="L30" s="52" t="n">
        <x:f>K30*(1-'Inputs'!F27)</x:f>
        <x:v>0</x:v>
      </x:c>
      <x:c r="M30" s="3" t="n">
        <x:f>L30*1</x:f>
        <x:v>0</x:v>
      </x:c>
      <x:c r="N30" s="3" t="n">
        <x:f>M30*1</x:f>
        <x:v>0</x:v>
      </x:c>
      <x:c r="O30" s="3" t="n">
        <x:f>N30*1</x:f>
        <x:v>0</x:v>
      </x:c>
      <x:c r="P30" s="52" t="n">
        <x:f>O30*(1-'Inputs'!G27)</x:f>
        <x:v>0</x:v>
      </x:c>
      <x:c r="Q30" s="3" t="n">
        <x:f>P30*1</x:f>
        <x:v>0</x:v>
      </x:c>
      <x:c r="R30" s="3" t="n">
        <x:f>Q30*1</x:f>
        <x:v>0</x:v>
      </x:c>
      <x:c r="S30" s="3" t="n">
        <x:f>R30*1</x:f>
        <x:v>0</x:v>
      </x:c>
      <x:c r="T30" s="52" t="n">
        <x:f>S30*(1-'Inputs'!H27)</x:f>
        <x:v>0</x:v>
      </x:c>
    </x:row>
    <x:row r="31" ht="25" customHeight="1">
      <x:c r="A31" s="2"/>
      <x:c r="B31" s="2"/>
      <x:c r="C31" s="32" t="str">
        <x:v>Activated Q1:27</x:v>
      </x:c>
      <x:c r="D31" s="3" t="n">
        <x:f>0</x:f>
        <x:v>0</x:v>
      </x:c>
      <x:c r="E31" s="52" t="n">
        <x:f>'Sales'!E25*'Inputs'!E22</x:f>
        <x:v>4</x:v>
      </x:c>
      <x:c r="F31" s="3" t="n">
        <x:f>E31*1</x:f>
        <x:v>4</x:v>
      </x:c>
      <x:c r="G31" s="3" t="n">
        <x:f>F31*1</x:f>
        <x:v>4</x:v>
      </x:c>
      <x:c r="H31" s="3" t="n">
        <x:f>G31*1</x:f>
        <x:v>4</x:v>
      </x:c>
      <x:c r="I31" s="52" t="n">
        <x:f>H31*(1-'Inputs'!F27)</x:f>
        <x:v>3.6</x:v>
      </x:c>
      <x:c r="J31" s="3" t="n">
        <x:f>I31*1</x:f>
        <x:v>3.6</x:v>
      </x:c>
      <x:c r="K31" s="3" t="n">
        <x:f>J31*1</x:f>
        <x:v>3.6</x:v>
      </x:c>
      <x:c r="L31" s="3" t="n">
        <x:f>K31*1</x:f>
        <x:v>3.6</x:v>
      </x:c>
      <x:c r="M31" s="52" t="n">
        <x:f>L31*(1-'Inputs'!G27)</x:f>
        <x:v>3.3120000000000003</x:v>
      </x:c>
      <x:c r="N31" s="3" t="n">
        <x:f>M31*1</x:f>
        <x:v>3.3120000000000003</x:v>
      </x:c>
      <x:c r="O31" s="3" t="n">
        <x:f>N31*1</x:f>
        <x:v>3.3120000000000003</x:v>
      </x:c>
      <x:c r="P31" s="3" t="n">
        <x:f>O31*1</x:f>
        <x:v>3.3120000000000003</x:v>
      </x:c>
      <x:c r="Q31" s="52" t="n">
        <x:f>P31*(1-'Inputs'!H27)</x:f>
        <x:v>3.0470400000000004</x:v>
      </x:c>
      <x:c r="R31" s="3" t="n">
        <x:f>Q31*1</x:f>
        <x:v>3.0470400000000004</x:v>
      </x:c>
      <x:c r="S31" s="3" t="n">
        <x:f>R31*1</x:f>
        <x:v>3.0470400000000004</x:v>
      </x:c>
      <x:c r="T31" s="3" t="n">
        <x:f>S31*1</x:f>
        <x:v>3.0470400000000004</x:v>
      </x:c>
    </x:row>
    <x:row r="32" ht="25" customHeight="1">
      <x:c r="A32" s="2"/>
      <x:c r="B32" s="2"/>
      <x:c r="C32" s="32" t="str">
        <x:v>Activated Q2:27</x:v>
      </x:c>
      <x:c r="D32" s="3" t="n">
        <x:f>0</x:f>
        <x:v>0</x:v>
      </x:c>
      <x:c r="E32" s="3" t="n">
        <x:f>0</x:f>
        <x:v>0</x:v>
      </x:c>
      <x:c r="F32" s="52" t="n">
        <x:f>'Sales'!F25*'Inputs'!E22</x:f>
        <x:v>7.25</x:v>
      </x:c>
      <x:c r="G32" s="3" t="n">
        <x:f>F32*1</x:f>
        <x:v>7.25</x:v>
      </x:c>
      <x:c r="H32" s="3" t="n">
        <x:f>G32*1</x:f>
        <x:v>7.25</x:v>
      </x:c>
      <x:c r="I32" s="3" t="n">
        <x:f>H32*1</x:f>
        <x:v>7.25</x:v>
      </x:c>
      <x:c r="J32" s="52" t="n">
        <x:f>I32*(1-'Inputs'!F27)</x:f>
        <x:v>6.525</x:v>
      </x:c>
      <x:c r="K32" s="3" t="n">
        <x:f>J32*1</x:f>
        <x:v>6.525</x:v>
      </x:c>
      <x:c r="L32" s="3" t="n">
        <x:f>K32*1</x:f>
        <x:v>6.525</x:v>
      </x:c>
      <x:c r="M32" s="3" t="n">
        <x:f>L32*1</x:f>
        <x:v>6.525</x:v>
      </x:c>
      <x:c r="N32" s="52" t="n">
        <x:f>M32*(1-'Inputs'!G27)</x:f>
        <x:v>6.003000000000001</x:v>
      </x:c>
      <x:c r="O32" s="3" t="n">
        <x:f>N32*1</x:f>
        <x:v>6.003000000000001</x:v>
      </x:c>
      <x:c r="P32" s="3" t="n">
        <x:f>O32*1</x:f>
        <x:v>6.003000000000001</x:v>
      </x:c>
      <x:c r="Q32" s="3" t="n">
        <x:f>P32*1</x:f>
        <x:v>6.003000000000001</x:v>
      </x:c>
      <x:c r="R32" s="52" t="n">
        <x:f>Q32*(1-'Inputs'!H27)</x:f>
        <x:v>5.522760000000001</x:v>
      </x:c>
      <x:c r="S32" s="3" t="n">
        <x:f>R32*1</x:f>
        <x:v>5.522760000000001</x:v>
      </x:c>
      <x:c r="T32" s="3" t="n">
        <x:f>S32*1</x:f>
        <x:v>5.522760000000001</x:v>
      </x:c>
    </x:row>
    <x:row r="33" ht="25" customHeight="1">
      <x:c r="A33" s="2"/>
      <x:c r="B33" s="2"/>
      <x:c r="C33" s="32" t="str">
        <x:v>Activated Q3:27</x:v>
      </x:c>
      <x:c r="D33" s="3" t="n">
        <x:f>0</x:f>
        <x:v>0</x:v>
      </x:c>
      <x:c r="E33" s="3" t="n">
        <x:f>0</x:f>
        <x:v>0</x:v>
      </x:c>
      <x:c r="F33" s="3" t="n">
        <x:f>0</x:f>
        <x:v>0</x:v>
      </x:c>
      <x:c r="G33" s="52" t="n">
        <x:f>'Sales'!G25*'Inputs'!E22</x:f>
        <x:v>6.25</x:v>
      </x:c>
      <x:c r="H33" s="3" t="n">
        <x:f>G33*1</x:f>
        <x:v>6.25</x:v>
      </x:c>
      <x:c r="I33" s="3" t="n">
        <x:f>H33*1</x:f>
        <x:v>6.25</x:v>
      </x:c>
      <x:c r="J33" s="3" t="n">
        <x:f>I33*1</x:f>
        <x:v>6.25</x:v>
      </x:c>
      <x:c r="K33" s="52" t="n">
        <x:f>J33*(1-'Inputs'!F27)</x:f>
        <x:v>5.625</x:v>
      </x:c>
      <x:c r="L33" s="3" t="n">
        <x:f>K33*1</x:f>
        <x:v>5.625</x:v>
      </x:c>
      <x:c r="M33" s="3" t="n">
        <x:f>L33*1</x:f>
        <x:v>5.625</x:v>
      </x:c>
      <x:c r="N33" s="3" t="n">
        <x:f>M33*1</x:f>
        <x:v>5.625</x:v>
      </x:c>
      <x:c r="O33" s="52" t="n">
        <x:f>N33*(1-'Inputs'!G27)</x:f>
        <x:v>5.175</x:v>
      </x:c>
      <x:c r="P33" s="3" t="n">
        <x:f>O33*1</x:f>
        <x:v>5.175</x:v>
      </x:c>
      <x:c r="Q33" s="3" t="n">
        <x:f>P33*1</x:f>
        <x:v>5.175</x:v>
      </x:c>
      <x:c r="R33" s="3" t="n">
        <x:f>Q33*1</x:f>
        <x:v>5.175</x:v>
      </x:c>
      <x:c r="S33" s="52" t="n">
        <x:f>R33*(1-'Inputs'!H27)</x:f>
        <x:v>4.761</x:v>
      </x:c>
      <x:c r="T33" s="3" t="n">
        <x:f>S33*1</x:f>
        <x:v>4.761</x:v>
      </x:c>
    </x:row>
    <x:row r="34" ht="25" customHeight="1">
      <x:c r="A34" s="2"/>
      <x:c r="B34" s="2"/>
      <x:c r="C34" s="32" t="str">
        <x:v>Activated Q4:27</x:v>
      </x:c>
      <x:c r="D34" s="3" t="n">
        <x:f>0</x:f>
        <x:v>0</x:v>
      </x:c>
      <x:c r="E34" s="3" t="n">
        <x:f>0</x:f>
        <x:v>0</x:v>
      </x:c>
      <x:c r="F34" s="3" t="n">
        <x:f>0</x:f>
        <x:v>0</x:v>
      </x:c>
      <x:c r="G34" s="3" t="n">
        <x:f>0</x:f>
        <x:v>0</x:v>
      </x:c>
      <x:c r="H34" s="52" t="n">
        <x:f>'Sales'!H25*'Inputs'!E22</x:f>
        <x:v>7.5</x:v>
      </x:c>
      <x:c r="I34" s="3" t="n">
        <x:f>H34*1</x:f>
        <x:v>7.5</x:v>
      </x:c>
      <x:c r="J34" s="3" t="n">
        <x:f>I34*1</x:f>
        <x:v>7.5</x:v>
      </x:c>
      <x:c r="K34" s="3" t="n">
        <x:f>J34*1</x:f>
        <x:v>7.5</x:v>
      </x:c>
      <x:c r="L34" s="52" t="n">
        <x:f>K34*(1-'Inputs'!F27)</x:f>
        <x:v>6.75</x:v>
      </x:c>
      <x:c r="M34" s="3" t="n">
        <x:f>L34*1</x:f>
        <x:v>6.75</x:v>
      </x:c>
      <x:c r="N34" s="3" t="n">
        <x:f>M34*1</x:f>
        <x:v>6.75</x:v>
      </x:c>
      <x:c r="O34" s="3" t="n">
        <x:f>N34*1</x:f>
        <x:v>6.75</x:v>
      </x:c>
      <x:c r="P34" s="52" t="n">
        <x:f>O34*(1-'Inputs'!G27)</x:f>
        <x:v>6.21</x:v>
      </x:c>
      <x:c r="Q34" s="3" t="n">
        <x:f>P34*1</x:f>
        <x:v>6.21</x:v>
      </x:c>
      <x:c r="R34" s="3" t="n">
        <x:f>Q34*1</x:f>
        <x:v>6.21</x:v>
      </x:c>
      <x:c r="S34" s="3" t="n">
        <x:f>R34*1</x:f>
        <x:v>6.21</x:v>
      </x:c>
      <x:c r="T34" s="52" t="n">
        <x:f>S34*(1-'Inputs'!H27)</x:f>
        <x:v>5.7132000000000005</x:v>
      </x:c>
    </x:row>
    <x:row r="35" ht="25" customHeight="1">
      <x:c r="A35" s="2"/>
      <x:c r="B35" s="2"/>
      <x:c r="C35" s="32" t="str">
        <x:v>Activated Q1:28</x:v>
      </x:c>
      <x:c r="D35" s="3" t="n">
        <x:f>0</x:f>
        <x:v>0</x:v>
      </x:c>
      <x:c r="E35" s="3" t="n">
        <x:f>0</x:f>
        <x:v>0</x:v>
      </x:c>
      <x:c r="F35" s="3" t="n">
        <x:f>0</x:f>
        <x:v>0</x:v>
      </x:c>
      <x:c r="G35" s="3" t="n">
        <x:f>0</x:f>
        <x:v>0</x:v>
      </x:c>
      <x:c r="H35" s="3" t="n">
        <x:f>0</x:f>
        <x:v>0</x:v>
      </x:c>
      <x:c r="I35" s="52" t="n">
        <x:f>'Sales'!I25*'Inputs'!F22</x:f>
        <x:v>10.506250000000001</x:v>
      </x:c>
      <x:c r="J35" s="3" t="n">
        <x:f>I35*1</x:f>
        <x:v>10.506250000000001</x:v>
      </x:c>
      <x:c r="K35" s="3" t="n">
        <x:f>J35*1</x:f>
        <x:v>10.506250000000001</x:v>
      </x:c>
      <x:c r="L35" s="3" t="n">
        <x:f>K35*1</x:f>
        <x:v>10.506250000000001</x:v>
      </x:c>
      <x:c r="M35" s="52" t="n">
        <x:f>L35*(1-'Inputs'!G27)</x:f>
        <x:v>9.665750000000001</x:v>
      </x:c>
      <x:c r="N35" s="3" t="n">
        <x:f>M35*1</x:f>
        <x:v>9.665750000000001</x:v>
      </x:c>
      <x:c r="O35" s="3" t="n">
        <x:f>N35*1</x:f>
        <x:v>9.665750000000001</x:v>
      </x:c>
      <x:c r="P35" s="3" t="n">
        <x:f>O35*1</x:f>
        <x:v>9.665750000000001</x:v>
      </x:c>
      <x:c r="Q35" s="52" t="n">
        <x:f>P35*(1-'Inputs'!H27)</x:f>
        <x:v>8.89249</x:v>
      </x:c>
      <x:c r="R35" s="3" t="n">
        <x:f>Q35*1</x:f>
        <x:v>8.89249</x:v>
      </x:c>
      <x:c r="S35" s="3" t="n">
        <x:f>R35*1</x:f>
        <x:v>8.89249</x:v>
      </x:c>
      <x:c r="T35" s="3" t="n">
        <x:f>S35*1</x:f>
        <x:v>8.89249</x:v>
      </x:c>
    </x:row>
    <x:row r="36" ht="25" customHeight="1">
      <x:c r="A36" s="2"/>
      <x:c r="B36" s="2"/>
      <x:c r="C36" s="32" t="str">
        <x:v>Activated Q2:28</x:v>
      </x:c>
      <x:c r="D36" s="3" t="n">
        <x:f>0</x:f>
        <x:v>0</x:v>
      </x:c>
      <x:c r="E36" s="3" t="n">
        <x:f>0</x:f>
        <x:v>0</x:v>
      </x:c>
      <x:c r="F36" s="3" t="n">
        <x:f>0</x:f>
        <x:v>0</x:v>
      </x:c>
      <x:c r="G36" s="3" t="n">
        <x:f>0</x:f>
        <x:v>0</x:v>
      </x:c>
      <x:c r="H36" s="3" t="n">
        <x:f>0</x:f>
        <x:v>0</x:v>
      </x:c>
      <x:c r="I36" s="3" t="n">
        <x:f>0</x:f>
        <x:v>0</x:v>
      </x:c>
      <x:c r="J36" s="52" t="n">
        <x:f>'Sales'!J25*'Inputs'!F22</x:f>
        <x:v>15.595625000000002</x:v>
      </x:c>
      <x:c r="K36" s="3" t="n">
        <x:f>J36*1</x:f>
        <x:v>15.595625000000002</x:v>
      </x:c>
      <x:c r="L36" s="3" t="n">
        <x:f>K36*1</x:f>
        <x:v>15.595625000000002</x:v>
      </x:c>
      <x:c r="M36" s="3" t="n">
        <x:f>L36*1</x:f>
        <x:v>15.595625000000002</x:v>
      </x:c>
      <x:c r="N36" s="52" t="n">
        <x:f>M36*(1-'Inputs'!G27)</x:f>
        <x:v>14.347975000000002</x:v>
      </x:c>
      <x:c r="O36" s="3" t="n">
        <x:f>N36*1</x:f>
        <x:v>14.347975000000002</x:v>
      </x:c>
      <x:c r="P36" s="3" t="n">
        <x:f>O36*1</x:f>
        <x:v>14.347975000000002</x:v>
      </x:c>
      <x:c r="Q36" s="3" t="n">
        <x:f>P36*1</x:f>
        <x:v>14.347975000000002</x:v>
      </x:c>
      <x:c r="R36" s="52" t="n">
        <x:f>Q36*(1-'Inputs'!H27)</x:f>
        <x:v>13.200137000000002</x:v>
      </x:c>
      <x:c r="S36" s="3" t="n">
        <x:f>R36*1</x:f>
        <x:v>13.200137000000002</x:v>
      </x:c>
      <x:c r="T36" s="3" t="n">
        <x:f>S36*1</x:f>
        <x:v>13.200137000000002</x:v>
      </x:c>
    </x:row>
    <x:row r="37" ht="25" customHeight="1">
      <x:c r="A37" s="2"/>
      <x:c r="B37" s="2"/>
      <x:c r="C37" s="32" t="str">
        <x:v>Activated Q3:28</x:v>
      </x:c>
      <x:c r="D37" s="3" t="n">
        <x:f>0</x:f>
        <x:v>0</x:v>
      </x:c>
      <x:c r="E37" s="3" t="n">
        <x:f>0</x:f>
        <x:v>0</x:v>
      </x:c>
      <x:c r="F37" s="3" t="n">
        <x:f>0</x:f>
        <x:v>0</x:v>
      </x:c>
      <x:c r="G37" s="3" t="n">
        <x:f>0</x:f>
        <x:v>0</x:v>
      </x:c>
      <x:c r="H37" s="3" t="n">
        <x:f>0</x:f>
        <x:v>0</x:v>
      </x:c>
      <x:c r="I37" s="3" t="n">
        <x:f>0</x:f>
        <x:v>0</x:v>
      </x:c>
      <x:c r="J37" s="3" t="n">
        <x:f>0</x:f>
        <x:v>0</x:v>
      </x:c>
      <x:c r="K37" s="52" t="n">
        <x:f>'Sales'!K25*'Inputs'!F22</x:f>
        <x:v>19.165625000000002</x:v>
      </x:c>
      <x:c r="L37" s="3" t="n">
        <x:f>K37*1</x:f>
        <x:v>19.165625000000002</x:v>
      </x:c>
      <x:c r="M37" s="3" t="n">
        <x:f>L37*1</x:f>
        <x:v>19.165625000000002</x:v>
      </x:c>
      <x:c r="N37" s="3" t="n">
        <x:f>M37*1</x:f>
        <x:v>19.165625000000002</x:v>
      </x:c>
      <x:c r="O37" s="52" t="n">
        <x:f>N37*(1-'Inputs'!G27)</x:f>
        <x:v>17.632375000000003</x:v>
      </x:c>
      <x:c r="P37" s="3" t="n">
        <x:f>O37*1</x:f>
        <x:v>17.632375000000003</x:v>
      </x:c>
      <x:c r="Q37" s="3" t="n">
        <x:f>P37*1</x:f>
        <x:v>17.632375000000003</x:v>
      </x:c>
      <x:c r="R37" s="3" t="n">
        <x:f>Q37*1</x:f>
        <x:v>17.632375000000003</x:v>
      </x:c>
      <x:c r="S37" s="52" t="n">
        <x:f>R37*(1-'Inputs'!H27)</x:f>
        <x:v>16.221785000000004</x:v>
      </x:c>
      <x:c r="T37" s="3" t="n">
        <x:f>S37*1</x:f>
        <x:v>16.221785000000004</x:v>
      </x:c>
    </x:row>
    <x:row r="38" ht="25" customHeight="1">
      <x:c r="A38" s="2"/>
      <x:c r="B38" s="2"/>
      <x:c r="C38" s="32" t="str">
        <x:v>Activated Q4:28</x:v>
      </x:c>
      <x:c r="D38" s="3" t="n">
        <x:f>0</x:f>
        <x:v>0</x:v>
      </x:c>
      <x:c r="E38" s="3" t="n">
        <x:f>0</x:f>
        <x:v>0</x:v>
      </x:c>
      <x:c r="F38" s="3" t="n">
        <x:f>0</x:f>
        <x:v>0</x:v>
      </x:c>
      <x:c r="G38" s="3" t="n">
        <x:f>0</x:f>
        <x:v>0</x:v>
      </x:c>
      <x:c r="H38" s="3" t="n">
        <x:f>0</x:f>
        <x:v>0</x:v>
      </x:c>
      <x:c r="I38" s="3" t="n">
        <x:f>0</x:f>
        <x:v>0</x:v>
      </x:c>
      <x:c r="J38" s="3" t="n">
        <x:f>0</x:f>
        <x:v>0</x:v>
      </x:c>
      <x:c r="K38" s="3" t="n">
        <x:f>0</x:f>
        <x:v>0</x:v>
      </x:c>
      <x:c r="L38" s="52" t="n">
        <x:f>'Sales'!L25*'Inputs'!F22</x:f>
        <x:v>29.2325</x:v>
      </x:c>
      <x:c r="M38" s="3" t="n">
        <x:f>L38*1</x:f>
        <x:v>29.2325</x:v>
      </x:c>
      <x:c r="N38" s="3" t="n">
        <x:f>M38*1</x:f>
        <x:v>29.2325</x:v>
      </x:c>
      <x:c r="O38" s="3" t="n">
        <x:f>N38*1</x:f>
        <x:v>29.2325</x:v>
      </x:c>
      <x:c r="P38" s="52" t="n">
        <x:f>O38*(1-'Inputs'!G27)</x:f>
        <x:v>26.893900000000002</x:v>
      </x:c>
      <x:c r="Q38" s="3" t="n">
        <x:f>P38*1</x:f>
        <x:v>26.893900000000002</x:v>
      </x:c>
      <x:c r="R38" s="3" t="n">
        <x:f>Q38*1</x:f>
        <x:v>26.893900000000002</x:v>
      </x:c>
      <x:c r="S38" s="3" t="n">
        <x:f>R38*1</x:f>
        <x:v>26.893900000000002</x:v>
      </x:c>
      <x:c r="T38" s="52" t="n">
        <x:f>S38*(1-'Inputs'!H27)</x:f>
        <x:v>24.742388000000002</x:v>
      </x:c>
    </x:row>
    <x:row r="39" ht="25" customHeight="1">
      <x:c r="A39" s="2"/>
      <x:c r="B39" s="2"/>
      <x:c r="C39" s="32" t="str">
        <x:v>Activated Q1:29</x:v>
      </x:c>
      <x:c r="D39" s="3" t="n">
        <x:f>0</x:f>
        <x:v>0</x:v>
      </x:c>
      <x:c r="E39" s="3" t="n">
        <x:f>0</x:f>
        <x:v>0</x:v>
      </x:c>
      <x:c r="F39" s="3" t="n">
        <x:f>0</x:f>
        <x:v>0</x:v>
      </x:c>
      <x:c r="G39" s="3" t="n">
        <x:f>0</x:f>
        <x:v>0</x:v>
      </x:c>
      <x:c r="H39" s="3" t="n">
        <x:f>0</x:f>
        <x:v>0</x:v>
      </x:c>
      <x:c r="I39" s="3" t="n">
        <x:f>0</x:f>
        <x:v>0</x:v>
      </x:c>
      <x:c r="J39" s="3" t="n">
        <x:f>0</x:f>
        <x:v>0</x:v>
      </x:c>
      <x:c r="K39" s="3" t="n">
        <x:f>0</x:f>
        <x:v>0</x:v>
      </x:c>
      <x:c r="L39" s="3" t="n">
        <x:f>0</x:f>
        <x:v>0</x:v>
      </x:c>
      <x:c r="M39" s="52" t="n">
        <x:f>'Sales'!M25*'Inputs'!G22</x:f>
        <x:v>45.89375000000001</x:v>
      </x:c>
      <x:c r="N39" s="3" t="n">
        <x:f>M39*1</x:f>
        <x:v>45.89375000000001</x:v>
      </x:c>
      <x:c r="O39" s="3" t="n">
        <x:f>N39*1</x:f>
        <x:v>45.89375000000001</x:v>
      </x:c>
      <x:c r="P39" s="3" t="n">
        <x:f>O39*1</x:f>
        <x:v>45.89375000000001</x:v>
      </x:c>
      <x:c r="Q39" s="52" t="n">
        <x:f>P39*(1-'Inputs'!H27)</x:f>
        <x:v>42.22225000000001</x:v>
      </x:c>
      <x:c r="R39" s="3" t="n">
        <x:f>Q39*1</x:f>
        <x:v>42.22225000000001</x:v>
      </x:c>
      <x:c r="S39" s="3" t="n">
        <x:f>R39*1</x:f>
        <x:v>42.22225000000001</x:v>
      </x:c>
      <x:c r="T39" s="3" t="n">
        <x:f>S39*1</x:f>
        <x:v>42.22225000000001</x:v>
      </x:c>
    </x:row>
    <x:row r="40" ht="25" customHeight="1">
      <x:c r="A40" s="2"/>
      <x:c r="B40" s="2"/>
      <x:c r="C40" s="32" t="str">
        <x:v>Activated Q2:29</x:v>
      </x:c>
      <x:c r="D40" s="3" t="n">
        <x:f>0</x:f>
        <x:v>0</x:v>
      </x:c>
      <x:c r="E40" s="3" t="n">
        <x:f>0</x:f>
        <x:v>0</x:v>
      </x:c>
      <x:c r="F40" s="3" t="n">
        <x:f>0</x:f>
        <x:v>0</x:v>
      </x:c>
      <x:c r="G40" s="3" t="n">
        <x:f>0</x:f>
        <x:v>0</x:v>
      </x:c>
      <x:c r="H40" s="3" t="n">
        <x:f>0</x:f>
        <x:v>0</x:v>
      </x:c>
      <x:c r="I40" s="3" t="n">
        <x:f>0</x:f>
        <x:v>0</x:v>
      </x:c>
      <x:c r="J40" s="3" t="n">
        <x:f>0</x:f>
        <x:v>0</x:v>
      </x:c>
      <x:c r="K40" s="3" t="n">
        <x:f>0</x:f>
        <x:v>0</x:v>
      </x:c>
      <x:c r="L40" s="3" t="n">
        <x:f>0</x:f>
        <x:v>0</x:v>
      </x:c>
      <x:c r="M40" s="3" t="n">
        <x:f>0</x:f>
        <x:v>0</x:v>
      </x:c>
      <x:c r="N40" s="52" t="n">
        <x:f>'Sales'!N25*'Inputs'!G22</x:f>
        <x:v>76.23</x:v>
      </x:c>
      <x:c r="O40" s="3" t="n">
        <x:f>N40*1</x:f>
        <x:v>76.23</x:v>
      </x:c>
      <x:c r="P40" s="3" t="n">
        <x:f>O40*1</x:f>
        <x:v>76.23</x:v>
      </x:c>
      <x:c r="Q40" s="3" t="n">
        <x:f>P40*1</x:f>
        <x:v>76.23</x:v>
      </x:c>
      <x:c r="R40" s="52" t="n">
        <x:f>Q40*(1-'Inputs'!H27)</x:f>
        <x:v>70.1316</x:v>
      </x:c>
      <x:c r="S40" s="3" t="n">
        <x:f>R40*1</x:f>
        <x:v>70.1316</x:v>
      </x:c>
      <x:c r="T40" s="3" t="n">
        <x:f>S40*1</x:f>
        <x:v>70.1316</x:v>
      </x:c>
    </x:row>
    <x:row r="41" ht="25" customHeight="1">
      <x:c r="A41" s="2"/>
      <x:c r="B41" s="2"/>
      <x:c r="C41" s="32" t="str">
        <x:v>Activated Q3:29</x:v>
      </x:c>
      <x:c r="D41" s="3" t="n">
        <x:f>0</x:f>
        <x:v>0</x:v>
      </x:c>
      <x:c r="E41" s="3" t="n">
        <x:f>0</x:f>
        <x:v>0</x:v>
      </x:c>
      <x:c r="F41" s="3" t="n">
        <x:f>0</x:f>
        <x:v>0</x:v>
      </x:c>
      <x:c r="G41" s="3" t="n">
        <x:f>0</x:f>
        <x:v>0</x:v>
      </x:c>
      <x:c r="H41" s="3" t="n">
        <x:f>0</x:f>
        <x:v>0</x:v>
      </x:c>
      <x:c r="I41" s="3" t="n">
        <x:f>0</x:f>
        <x:v>0</x:v>
      </x:c>
      <x:c r="J41" s="3" t="n">
        <x:f>0</x:f>
        <x:v>0</x:v>
      </x:c>
      <x:c r="K41" s="3" t="n">
        <x:f>0</x:f>
        <x:v>0</x:v>
      </x:c>
      <x:c r="L41" s="3" t="n">
        <x:f>0</x:f>
        <x:v>0</x:v>
      </x:c>
      <x:c r="M41" s="3" t="n">
        <x:f>0</x:f>
        <x:v>0</x:v>
      </x:c>
      <x:c r="N41" s="3" t="n">
        <x:f>0</x:f>
        <x:v>0</x:v>
      </x:c>
      <x:c r="O41" s="52" t="n">
        <x:f>'Sales'!O25*'Inputs'!G22</x:f>
        <x:v>92.65</x:v>
      </x:c>
      <x:c r="P41" s="3" t="n">
        <x:f>O41*1</x:f>
        <x:v>92.65</x:v>
      </x:c>
      <x:c r="Q41" s="3" t="n">
        <x:f>P41*1</x:f>
        <x:v>92.65</x:v>
      </x:c>
      <x:c r="R41" s="3" t="n">
        <x:f>Q41*1</x:f>
        <x:v>92.65</x:v>
      </x:c>
      <x:c r="S41" s="52" t="n">
        <x:f>R41*(1-'Inputs'!H27)</x:f>
        <x:v>85.23800000000001</x:v>
      </x:c>
      <x:c r="T41" s="3" t="n">
        <x:f>S41*1</x:f>
        <x:v>85.23800000000001</x:v>
      </x:c>
    </x:row>
    <x:row r="42" ht="25" customHeight="1">
      <x:c r="A42" s="2"/>
      <x:c r="B42" s="2"/>
      <x:c r="C42" s="32" t="str">
        <x:v>Activated Q4:29</x:v>
      </x:c>
      <x:c r="D42" s="3" t="n">
        <x:f>0</x:f>
        <x:v>0</x:v>
      </x:c>
      <x:c r="E42" s="3" t="n">
        <x:f>0</x:f>
        <x:v>0</x:v>
      </x:c>
      <x:c r="F42" s="3" t="n">
        <x:f>0</x:f>
        <x:v>0</x:v>
      </x:c>
      <x:c r="G42" s="3" t="n">
        <x:f>0</x:f>
        <x:v>0</x:v>
      </x:c>
      <x:c r="H42" s="3" t="n">
        <x:f>0</x:f>
        <x:v>0</x:v>
      </x:c>
      <x:c r="I42" s="3" t="n">
        <x:f>0</x:f>
        <x:v>0</x:v>
      </x:c>
      <x:c r="J42" s="3" t="n">
        <x:f>0</x:f>
        <x:v>0</x:v>
      </x:c>
      <x:c r="K42" s="3" t="n">
        <x:f>0</x:f>
        <x:v>0</x:v>
      </x:c>
      <x:c r="L42" s="3" t="n">
        <x:f>0</x:f>
        <x:v>0</x:v>
      </x:c>
      <x:c r="M42" s="3" t="n">
        <x:f>0</x:f>
        <x:v>0</x:v>
      </x:c>
      <x:c r="N42" s="3" t="n">
        <x:f>0</x:f>
        <x:v>0</x:v>
      </x:c>
      <x:c r="O42" s="3" t="n">
        <x:f>0</x:f>
        <x:v>0</x:v>
      </x:c>
      <x:c r="P42" s="52" t="n">
        <x:f>'Sales'!P25*'Inputs'!G22</x:f>
        <x:v>127.53000000000003</x:v>
      </x:c>
      <x:c r="Q42" s="3" t="n">
        <x:f>P42*1</x:f>
        <x:v>127.53000000000003</x:v>
      </x:c>
      <x:c r="R42" s="3" t="n">
        <x:f>Q42*1</x:f>
        <x:v>127.53000000000003</x:v>
      </x:c>
      <x:c r="S42" s="3" t="n">
        <x:f>R42*1</x:f>
        <x:v>127.53000000000003</x:v>
      </x:c>
      <x:c r="T42" s="52" t="n">
        <x:f>S42*(1-'Inputs'!H27)</x:f>
        <x:v>117.32760000000003</x:v>
      </x:c>
    </x:row>
    <x:row r="43" ht="25" customHeight="1">
      <x:c r="A43" s="2"/>
      <x:c r="B43" s="2"/>
      <x:c r="C43" s="32" t="str">
        <x:v>Activated Q1:30</x:v>
      </x:c>
      <x:c r="D43" s="3" t="n">
        <x:f>0</x:f>
        <x:v>0</x:v>
      </x:c>
      <x:c r="E43" s="3" t="n">
        <x:f>0</x:f>
        <x:v>0</x:v>
      </x:c>
      <x:c r="F43" s="3" t="n">
        <x:f>0</x:f>
        <x:v>0</x:v>
      </x:c>
      <x:c r="G43" s="3" t="n">
        <x:f>0</x:f>
        <x:v>0</x:v>
      </x:c>
      <x:c r="H43" s="3" t="n">
        <x:f>0</x:f>
        <x:v>0</x:v>
      </x:c>
      <x:c r="I43" s="3" t="n">
        <x:f>0</x:f>
        <x:v>0</x:v>
      </x:c>
      <x:c r="J43" s="3" t="n">
        <x:f>0</x:f>
        <x:v>0</x:v>
      </x:c>
      <x:c r="K43" s="3" t="n">
        <x:f>0</x:f>
        <x:v>0</x:v>
      </x:c>
      <x:c r="L43" s="3" t="n">
        <x:f>0</x:f>
        <x:v>0</x:v>
      </x:c>
      <x:c r="M43" s="3" t="n">
        <x:f>0</x:f>
        <x:v>0</x:v>
      </x:c>
      <x:c r="N43" s="3" t="n">
        <x:f>0</x:f>
        <x:v>0</x:v>
      </x:c>
      <x:c r="O43" s="3" t="n">
        <x:f>0</x:f>
        <x:v>0</x:v>
      </x:c>
      <x:c r="P43" s="3" t="n">
        <x:f>0</x:f>
        <x:v>0</x:v>
      </x:c>
      <x:c r="Q43" s="52" t="n">
        <x:f>'Sales'!Q25*'Inputs'!H22</x:f>
        <x:v>166.87</x:v>
      </x:c>
      <x:c r="R43" s="3" t="n">
        <x:f>Q43*1</x:f>
        <x:v>166.87</x:v>
      </x:c>
      <x:c r="S43" s="3" t="n">
        <x:f>R43*1</x:f>
        <x:v>166.87</x:v>
      </x:c>
      <x:c r="T43" s="3" t="n">
        <x:f>S43*1</x:f>
        <x:v>166.87</x:v>
      </x:c>
    </x:row>
    <x:row r="44" ht="25" customHeight="1">
      <x:c r="A44" s="2"/>
      <x:c r="B44" s="2"/>
      <x:c r="C44" s="32" t="str">
        <x:v>Activated Q2:30</x:v>
      </x:c>
      <x:c r="D44" s="3" t="n">
        <x:f>0</x:f>
        <x:v>0</x:v>
      </x:c>
      <x:c r="E44" s="3" t="n">
        <x:f>0</x:f>
        <x:v>0</x:v>
      </x:c>
      <x:c r="F44" s="3" t="n">
        <x:f>0</x:f>
        <x:v>0</x:v>
      </x:c>
      <x:c r="G44" s="3" t="n">
        <x:f>0</x:f>
        <x:v>0</x:v>
      </x:c>
      <x:c r="H44" s="3" t="n">
        <x:f>0</x:f>
        <x:v>0</x:v>
      </x:c>
      <x:c r="I44" s="3" t="n">
        <x:f>0</x:f>
        <x:v>0</x:v>
      </x:c>
      <x:c r="J44" s="3" t="n">
        <x:f>0</x:f>
        <x:v>0</x:v>
      </x:c>
      <x:c r="K44" s="3" t="n">
        <x:f>0</x:f>
        <x:v>0</x:v>
      </x:c>
      <x:c r="L44" s="3" t="n">
        <x:f>0</x:f>
        <x:v>0</x:v>
      </x:c>
      <x:c r="M44" s="3" t="n">
        <x:f>0</x:f>
        <x:v>0</x:v>
      </x:c>
      <x:c r="N44" s="3" t="n">
        <x:f>0</x:f>
        <x:v>0</x:v>
      </x:c>
      <x:c r="O44" s="3" t="n">
        <x:f>0</x:f>
        <x:v>0</x:v>
      </x:c>
      <x:c r="P44" s="3" t="n">
        <x:f>0</x:f>
        <x:v>0</x:v>
      </x:c>
      <x:c r="Q44" s="3" t="n">
        <x:f>0</x:f>
        <x:v>0</x:v>
      </x:c>
      <x:c r="R44" s="52" t="n">
        <x:f>'Sales'!R25*'Inputs'!H22</x:f>
        <x:v>237.39875000000004</x:v>
      </x:c>
      <x:c r="S44" s="3" t="n">
        <x:f>R44*1</x:f>
        <x:v>237.39875000000004</x:v>
      </x:c>
      <x:c r="T44" s="3" t="n">
        <x:f>S44*1</x:f>
        <x:v>237.39875000000004</x:v>
      </x:c>
    </x:row>
    <x:row r="45" ht="25" customHeight="1">
      <x:c r="A45" s="2"/>
      <x:c r="B45" s="2"/>
      <x:c r="C45" s="32" t="str">
        <x:v>Activated Q3:30</x:v>
      </x:c>
      <x:c r="D45" s="3" t="n">
        <x:f>0</x:f>
        <x:v>0</x:v>
      </x:c>
      <x:c r="E45" s="3" t="n">
        <x:f>0</x:f>
        <x:v>0</x:v>
      </x:c>
      <x:c r="F45" s="3" t="n">
        <x:f>0</x:f>
        <x:v>0</x:v>
      </x:c>
      <x:c r="G45" s="3" t="n">
        <x:f>0</x:f>
        <x:v>0</x:v>
      </x:c>
      <x:c r="H45" s="3" t="n">
        <x:f>0</x:f>
        <x:v>0</x:v>
      </x:c>
      <x:c r="I45" s="3" t="n">
        <x:f>0</x:f>
        <x:v>0</x:v>
      </x:c>
      <x:c r="J45" s="3" t="n">
        <x:f>0</x:f>
        <x:v>0</x:v>
      </x:c>
      <x:c r="K45" s="3" t="n">
        <x:f>0</x:f>
        <x:v>0</x:v>
      </x:c>
      <x:c r="L45" s="3" t="n">
        <x:f>0</x:f>
        <x:v>0</x:v>
      </x:c>
      <x:c r="M45" s="3" t="n">
        <x:f>0</x:f>
        <x:v>0</x:v>
      </x:c>
      <x:c r="N45" s="3" t="n">
        <x:f>0</x:f>
        <x:v>0</x:v>
      </x:c>
      <x:c r="O45" s="3" t="n">
        <x:f>0</x:f>
        <x:v>0</x:v>
      </x:c>
      <x:c r="P45" s="3" t="n">
        <x:f>0</x:f>
        <x:v>0</x:v>
      </x:c>
      <x:c r="Q45" s="3" t="n">
        <x:f>0</x:f>
        <x:v>0</x:v>
      </x:c>
      <x:c r="R45" s="3" t="n">
        <x:f>0</x:f>
        <x:v>0</x:v>
      </x:c>
      <x:c r="S45" s="52" t="n">
        <x:f>'Sales'!S25*'Inputs'!H22</x:f>
        <x:v>266.96606249999985</x:v>
      </x:c>
      <x:c r="T45" s="3" t="n">
        <x:f>S45*1</x:f>
        <x:v>266.96606249999985</x:v>
      </x:c>
    </x:row>
    <x:row r="46" ht="25" customHeight="1">
      <x:c r="A46" s="2"/>
      <x:c r="B46" s="2"/>
      <x:c r="C46" s="32" t="str">
        <x:v>Activated Q4:30</x:v>
      </x:c>
      <x:c r="D46" s="3" t="n">
        <x:f>0</x:f>
        <x:v>0</x:v>
      </x:c>
      <x:c r="E46" s="3" t="n">
        <x:f>0</x:f>
        <x:v>0</x:v>
      </x:c>
      <x:c r="F46" s="3" t="n">
        <x:f>0</x:f>
        <x:v>0</x:v>
      </x:c>
      <x:c r="G46" s="3" t="n">
        <x:f>0</x:f>
        <x:v>0</x:v>
      </x:c>
      <x:c r="H46" s="3" t="n">
        <x:f>0</x:f>
        <x:v>0</x:v>
      </x:c>
      <x:c r="I46" s="3" t="n">
        <x:f>0</x:f>
        <x:v>0</x:v>
      </x:c>
      <x:c r="J46" s="3" t="n">
        <x:f>0</x:f>
        <x:v>0</x:v>
      </x:c>
      <x:c r="K46" s="3" t="n">
        <x:f>0</x:f>
        <x:v>0</x:v>
      </x:c>
      <x:c r="L46" s="3" t="n">
        <x:f>0</x:f>
        <x:v>0</x:v>
      </x:c>
      <x:c r="M46" s="3" t="n">
        <x:f>0</x:f>
        <x:v>0</x:v>
      </x:c>
      <x:c r="N46" s="3" t="n">
        <x:f>0</x:f>
        <x:v>0</x:v>
      </x:c>
      <x:c r="O46" s="3" t="n">
        <x:f>0</x:f>
        <x:v>0</x:v>
      </x:c>
      <x:c r="P46" s="3" t="n">
        <x:f>0</x:f>
        <x:v>0</x:v>
      </x:c>
      <x:c r="Q46" s="3" t="n">
        <x:f>0</x:f>
        <x:v>0</x:v>
      </x:c>
      <x:c r="R46" s="3" t="n">
        <x:f>0</x:f>
        <x:v>0</x:v>
      </x:c>
      <x:c r="S46" s="3" t="n">
        <x:f>0</x:f>
        <x:v>0</x:v>
      </x:c>
      <x:c r="T46" s="52" t="n">
        <x:f>'Sales'!T25*'Inputs'!H22</x:f>
        <x:v>223.74493750000002</x:v>
      </x:c>
    </x:row>
    <x:row r="47" ht="25" customHeight="1">
      <x:c r="A47" s="2"/>
      <x:c r="B47" s="2"/>
      <x:c r="C47" s="32"/>
      <x:c r="D47" s="3"/>
      <x:c r="E47" s="3"/>
      <x:c r="F47" s="3"/>
      <x:c r="G47" s="3"/>
      <x:c r="H47" s="3"/>
      <x:c r="I47" s="3"/>
      <x:c r="J47" s="3"/>
      <x:c r="K47" s="3"/>
      <x:c r="L47" s="3"/>
      <x:c r="M47" s="3"/>
      <x:c r="N47" s="3"/>
      <x:c r="O47" s="3"/>
      <x:c r="P47" s="3"/>
      <x:c r="Q47" s="3"/>
      <x:c r="R47" s="3"/>
      <x:c r="S47" s="3"/>
      <x:c r="T47" s="3"/>
    </x:row>
    <x:row r="48" ht="25" customHeight="1">
      <x:c r="A48" s="2"/>
      <x:c r="B48" s="2"/>
      <x:c r="C48" s="32"/>
      <x:c r="D48" s="3"/>
      <x:c r="E48" s="3"/>
      <x:c r="F48" s="3"/>
      <x:c r="G48" s="3"/>
      <x:c r="H48" s="3"/>
      <x:c r="I48" s="3"/>
      <x:c r="J48" s="3"/>
      <x:c r="K48" s="3"/>
      <x:c r="L48" s="3"/>
      <x:c r="M48" s="3"/>
      <x:c r="N48" s="3"/>
      <x:c r="O48" s="3"/>
      <x:c r="P48" s="3"/>
      <x:c r="Q48" s="3"/>
      <x:c r="R48" s="3"/>
      <x:c r="S48" s="3"/>
      <x:c r="T48" s="3"/>
    </x:row>
    <x:row r="49" ht="27" customHeight="1">
      <x:c r="A49" s="2"/>
      <x:c r="B49" s="2"/>
      <x:c r="C49" s="61" t="str">
        <x:v>Annual contract value by cohort, EUR</x:v>
      </x:c>
      <x:c r="D49" s="15"/>
      <x:c r="E49" s="15"/>
      <x:c r="F49" s="15"/>
      <x:c r="G49" s="15"/>
      <x:c r="H49" s="15"/>
      <x:c r="I49" s="15"/>
      <x:c r="J49" s="15"/>
      <x:c r="K49" s="15"/>
      <x:c r="L49" s="15"/>
      <x:c r="M49" s="15"/>
      <x:c r="N49" s="15"/>
      <x:c r="O49" s="15"/>
      <x:c r="P49" s="15"/>
      <x:c r="Q49" s="15"/>
      <x:c r="R49" s="15"/>
      <x:c r="S49" s="15"/>
      <x:c r="T49" s="15"/>
    </x:row>
    <x:row r="50" ht="25" customHeight="1">
      <x:c r="A50" s="2"/>
      <x:c r="B50" s="2"/>
      <x:c r="C50" s="32" t="str">
        <x:v>Activated Q4:26</x:v>
      </x:c>
      <x:c r="D50" s="52" t="n">
        <x:f>'Pricing'!D36*'Pricing'!$D$43+'Pricing'!D37*'Pricing'!$E$43+'Pricing'!D38*'Pricing'!$F$43</x:f>
        <x:v>13390.738809551256</x:v>
      </x:c>
      <x:c r="E50" s="52" t="n">
        <x:f>'Pricing'!D36*'Pricing'!$D$43+'Pricing'!D37*'Pricing'!$E$43+'Pricing'!D38*'Pricing'!$F$43</x:f>
        <x:v>13390.738809551256</x:v>
      </x:c>
      <x:c r="F50" s="52" t="n">
        <x:f>'Pricing'!D36*'Pricing'!$D$43+'Pricing'!D37*'Pricing'!$E$43+'Pricing'!D38*'Pricing'!$F$43</x:f>
        <x:v>13390.738809551256</x:v>
      </x:c>
      <x:c r="G50" s="52" t="n">
        <x:f>'Pricing'!D36*'Pricing'!$D$43+'Pricing'!D37*'Pricing'!$E$43+'Pricing'!D38*'Pricing'!$F$43</x:f>
        <x:v>13390.738809551256</x:v>
      </x:c>
      <x:c r="H50" s="52" t="n">
        <x:f>'Pricing'!D36*'Pricing'!$D$44+'Pricing'!D37*'Pricing'!$E$44+'Pricing'!D38*'Pricing'!$F$44</x:f>
        <x:v>16741.774547677196</x:v>
      </x:c>
      <x:c r="I50" s="52" t="n">
        <x:f>'Pricing'!D36*'Pricing'!$D$44+'Pricing'!D37*'Pricing'!$E$44+'Pricing'!D38*'Pricing'!$F$44</x:f>
        <x:v>16741.774547677196</x:v>
      </x:c>
      <x:c r="J50" s="52" t="n">
        <x:f>'Pricing'!D36*'Pricing'!$D$44+'Pricing'!D37*'Pricing'!$E$44+'Pricing'!D38*'Pricing'!$F$44</x:f>
        <x:v>16741.774547677196</x:v>
      </x:c>
      <x:c r="K50" s="52" t="n">
        <x:f>'Pricing'!D36*'Pricing'!$D$44+'Pricing'!D37*'Pricing'!$E$44+'Pricing'!D38*'Pricing'!$F$44</x:f>
        <x:v>16741.774547677196</x:v>
      </x:c>
      <x:c r="L50" s="52" t="n">
        <x:f>'Pricing'!D36*'Pricing'!$D$45+'Pricing'!D37*'Pricing'!$E$45+'Pricing'!D38*'Pricing'!$F$45</x:f>
        <x:v>19422.603138177947</x:v>
      </x:c>
      <x:c r="M50" s="52" t="n">
        <x:f>'Pricing'!D36*'Pricing'!$D$45+'Pricing'!D37*'Pricing'!$E$45+'Pricing'!D38*'Pricing'!$F$45</x:f>
        <x:v>19422.603138177947</x:v>
      </x:c>
      <x:c r="N50" s="52" t="n">
        <x:f>'Pricing'!D36*'Pricing'!$D$45+'Pricing'!D37*'Pricing'!$E$45+'Pricing'!D38*'Pricing'!$F$45</x:f>
        <x:v>19422.603138177947</x:v>
      </x:c>
      <x:c r="O50" s="52" t="n">
        <x:f>'Pricing'!D36*'Pricing'!$D$45+'Pricing'!D37*'Pricing'!$E$45+'Pricing'!D38*'Pricing'!$F$45</x:f>
        <x:v>19422.603138177947</x:v>
      </x:c>
      <x:c r="P50" s="52" t="n">
        <x:f>'Pricing'!D36*'Pricing'!$D$46+'Pricing'!D37*'Pricing'!$E$46+'Pricing'!D38*'Pricing'!$F$46</x:f>
        <x:v>21098.12100724092</x:v>
      </x:c>
      <x:c r="Q50" s="52" t="n">
        <x:f>'Pricing'!D36*'Pricing'!$D$46+'Pricing'!D37*'Pricing'!$E$46+'Pricing'!D38*'Pricing'!$F$46</x:f>
        <x:v>21098.12100724092</x:v>
      </x:c>
      <x:c r="R50" s="52" t="n">
        <x:f>'Pricing'!D36*'Pricing'!$D$46+'Pricing'!D37*'Pricing'!$E$46+'Pricing'!D38*'Pricing'!$F$46</x:f>
        <x:v>21098.12100724092</x:v>
      </x:c>
      <x:c r="S50" s="52" t="n">
        <x:f>'Pricing'!D36*'Pricing'!$D$46+'Pricing'!D37*'Pricing'!$E$46+'Pricing'!D38*'Pricing'!$F$46</x:f>
        <x:v>21098.12100724092</x:v>
      </x:c>
      <x:c r="T50" s="52" t="n">
        <x:f>'Pricing'!D36*'Pricing'!$D$46+'Pricing'!D37*'Pricing'!$E$46+'Pricing'!D38*'Pricing'!$F$46</x:f>
        <x:v>21098.12100724092</x:v>
      </x:c>
    </x:row>
    <x:row r="51" ht="25" customHeight="1">
      <x:c r="A51" s="2"/>
      <x:c r="B51" s="2"/>
      <x:c r="C51" s="32" t="str">
        <x:v>Activated Q1:27</x:v>
      </x:c>
      <x:c r="D51" s="3" t="n">
        <x:f>0</x:f>
        <x:v>0</x:v>
      </x:c>
      <x:c r="E51" s="52" t="n">
        <x:f>'Pricing'!E36*'Pricing'!$D$43+'Pricing'!E37*'Pricing'!$E$43+'Pricing'!E38*'Pricing'!$F$43</x:f>
        <x:v>20285.159737171565</x:v>
      </x:c>
      <x:c r="F51" s="52" t="n">
        <x:f>'Pricing'!E36*'Pricing'!$D$43+'Pricing'!E37*'Pricing'!$E$43+'Pricing'!E38*'Pricing'!$F$43</x:f>
        <x:v>20285.159737171565</x:v>
      </x:c>
      <x:c r="G51" s="52" t="n">
        <x:f>'Pricing'!E36*'Pricing'!$D$43+'Pricing'!E37*'Pricing'!$E$43+'Pricing'!E38*'Pricing'!$F$43</x:f>
        <x:v>20285.159737171565</x:v>
      </x:c>
      <x:c r="H51" s="52" t="n">
        <x:f>'Pricing'!E36*'Pricing'!$D$43+'Pricing'!E37*'Pricing'!$E$43+'Pricing'!E38*'Pricing'!$F$43</x:f>
        <x:v>20285.159737171565</x:v>
      </x:c>
      <x:c r="I51" s="52" t="n">
        <x:f>'Pricing'!E36*'Pricing'!$D$44+'Pricing'!E37*'Pricing'!$E$44+'Pricing'!E38*'Pricing'!$F$44</x:f>
        <x:v>25211.182272216694</x:v>
      </x:c>
      <x:c r="J51" s="52" t="n">
        <x:f>'Pricing'!E36*'Pricing'!$D$44+'Pricing'!E37*'Pricing'!$E$44+'Pricing'!E38*'Pricing'!$F$44</x:f>
        <x:v>25211.182272216694</x:v>
      </x:c>
      <x:c r="K51" s="52" t="n">
        <x:f>'Pricing'!E36*'Pricing'!$D$44+'Pricing'!E37*'Pricing'!$E$44+'Pricing'!E38*'Pricing'!$F$44</x:f>
        <x:v>25211.182272216694</x:v>
      </x:c>
      <x:c r="L51" s="52" t="n">
        <x:f>'Pricing'!E36*'Pricing'!$D$44+'Pricing'!E37*'Pricing'!$E$44+'Pricing'!E38*'Pricing'!$F$44</x:f>
        <x:v>25211.182272216694</x:v>
      </x:c>
      <x:c r="M51" s="52" t="n">
        <x:f>'Pricing'!E36*'Pricing'!$D$45+'Pricing'!E37*'Pricing'!$E$45+'Pricing'!E38*'Pricing'!$F$45</x:f>
        <x:v>29152.000300252803</x:v>
      </x:c>
      <x:c r="N51" s="52" t="n">
        <x:f>'Pricing'!E36*'Pricing'!$D$45+'Pricing'!E37*'Pricing'!$E$45+'Pricing'!E38*'Pricing'!$F$45</x:f>
        <x:v>29152.000300252803</x:v>
      </x:c>
      <x:c r="O51" s="52" t="n">
        <x:f>'Pricing'!E36*'Pricing'!$D$45+'Pricing'!E37*'Pricing'!$E$45+'Pricing'!E38*'Pricing'!$F$45</x:f>
        <x:v>29152.000300252803</x:v>
      </x:c>
      <x:c r="P51" s="52" t="n">
        <x:f>'Pricing'!E36*'Pricing'!$D$45+'Pricing'!E37*'Pricing'!$E$45+'Pricing'!E38*'Pricing'!$F$45</x:f>
        <x:v>29152.000300252803</x:v>
      </x:c>
      <x:c r="Q51" s="52" t="n">
        <x:f>'Pricing'!E36*'Pricing'!$D$46+'Pricing'!E37*'Pricing'!$E$46+'Pricing'!E38*'Pricing'!$F$46</x:f>
        <x:v>31615.01156777537</x:v>
      </x:c>
      <x:c r="R51" s="52" t="n">
        <x:f>'Pricing'!E36*'Pricing'!$D$46+'Pricing'!E37*'Pricing'!$E$46+'Pricing'!E38*'Pricing'!$F$46</x:f>
        <x:v>31615.01156777537</x:v>
      </x:c>
      <x:c r="S51" s="52" t="n">
        <x:f>'Pricing'!E36*'Pricing'!$D$46+'Pricing'!E37*'Pricing'!$E$46+'Pricing'!E38*'Pricing'!$F$46</x:f>
        <x:v>31615.01156777537</x:v>
      </x:c>
      <x:c r="T51" s="52" t="n">
        <x:f>'Pricing'!E36*'Pricing'!$D$46+'Pricing'!E37*'Pricing'!$E$46+'Pricing'!E38*'Pricing'!$F$46</x:f>
        <x:v>31615.01156777537</x:v>
      </x:c>
    </x:row>
    <x:row r="52" ht="25" customHeight="1">
      <x:c r="A52" s="2"/>
      <x:c r="B52" s="2"/>
      <x:c r="C52" s="32" t="str">
        <x:v>Activated Q2:27</x:v>
      </x:c>
      <x:c r="D52" s="3" t="n">
        <x:f>0</x:f>
        <x:v>0</x:v>
      </x:c>
      <x:c r="E52" s="3" t="n">
        <x:f>0</x:f>
        <x:v>0</x:v>
      </x:c>
      <x:c r="F52" s="52" t="n">
        <x:f>'Pricing'!E36*'Pricing'!$D$43+'Pricing'!E37*'Pricing'!$E$43+'Pricing'!E38*'Pricing'!$F$43</x:f>
        <x:v>20285.159737171565</x:v>
      </x:c>
      <x:c r="G52" s="52" t="n">
        <x:f>'Pricing'!E36*'Pricing'!$D$43+'Pricing'!E37*'Pricing'!$E$43+'Pricing'!E38*'Pricing'!$F$43</x:f>
        <x:v>20285.159737171565</x:v>
      </x:c>
      <x:c r="H52" s="52" t="n">
        <x:f>'Pricing'!E36*'Pricing'!$D$43+'Pricing'!E37*'Pricing'!$E$43+'Pricing'!E38*'Pricing'!$F$43</x:f>
        <x:v>20285.159737171565</x:v>
      </x:c>
      <x:c r="I52" s="52" t="n">
        <x:f>'Pricing'!E36*'Pricing'!$D$43+'Pricing'!E37*'Pricing'!$E$43+'Pricing'!E38*'Pricing'!$F$43</x:f>
        <x:v>20285.159737171565</x:v>
      </x:c>
      <x:c r="J52" s="52" t="n">
        <x:f>'Pricing'!E36*'Pricing'!$D$44+'Pricing'!E37*'Pricing'!$E$44+'Pricing'!E38*'Pricing'!$F$44</x:f>
        <x:v>25211.182272216694</x:v>
      </x:c>
      <x:c r="K52" s="52" t="n">
        <x:f>'Pricing'!E36*'Pricing'!$D$44+'Pricing'!E37*'Pricing'!$E$44+'Pricing'!E38*'Pricing'!$F$44</x:f>
        <x:v>25211.182272216694</x:v>
      </x:c>
      <x:c r="L52" s="52" t="n">
        <x:f>'Pricing'!E36*'Pricing'!$D$44+'Pricing'!E37*'Pricing'!$E$44+'Pricing'!E38*'Pricing'!$F$44</x:f>
        <x:v>25211.182272216694</x:v>
      </x:c>
      <x:c r="M52" s="52" t="n">
        <x:f>'Pricing'!E36*'Pricing'!$D$44+'Pricing'!E37*'Pricing'!$E$44+'Pricing'!E38*'Pricing'!$F$44</x:f>
        <x:v>25211.182272216694</x:v>
      </x:c>
      <x:c r="N52" s="52" t="n">
        <x:f>'Pricing'!E36*'Pricing'!$D$45+'Pricing'!E37*'Pricing'!$E$45+'Pricing'!E38*'Pricing'!$F$45</x:f>
        <x:v>29152.000300252803</x:v>
      </x:c>
      <x:c r="O52" s="52" t="n">
        <x:f>'Pricing'!E36*'Pricing'!$D$45+'Pricing'!E37*'Pricing'!$E$45+'Pricing'!E38*'Pricing'!$F$45</x:f>
        <x:v>29152.000300252803</x:v>
      </x:c>
      <x:c r="P52" s="52" t="n">
        <x:f>'Pricing'!E36*'Pricing'!$D$45+'Pricing'!E37*'Pricing'!$E$45+'Pricing'!E38*'Pricing'!$F$45</x:f>
        <x:v>29152.000300252803</x:v>
      </x:c>
      <x:c r="Q52" s="52" t="n">
        <x:f>'Pricing'!E36*'Pricing'!$D$45+'Pricing'!E37*'Pricing'!$E$45+'Pricing'!E38*'Pricing'!$F$45</x:f>
        <x:v>29152.000300252803</x:v>
      </x:c>
      <x:c r="R52" s="52" t="n">
        <x:f>'Pricing'!E36*'Pricing'!$D$46+'Pricing'!E37*'Pricing'!$E$46+'Pricing'!E38*'Pricing'!$F$46</x:f>
        <x:v>31615.01156777537</x:v>
      </x:c>
      <x:c r="S52" s="52" t="n">
        <x:f>'Pricing'!E36*'Pricing'!$D$46+'Pricing'!E37*'Pricing'!$E$46+'Pricing'!E38*'Pricing'!$F$46</x:f>
        <x:v>31615.01156777537</x:v>
      </x:c>
      <x:c r="T52" s="52" t="n">
        <x:f>'Pricing'!E36*'Pricing'!$D$46+'Pricing'!E37*'Pricing'!$E$46+'Pricing'!E38*'Pricing'!$F$46</x:f>
        <x:v>31615.01156777537</x:v>
      </x:c>
    </x:row>
    <x:row r="53" ht="25" customHeight="1">
      <x:c r="A53" s="2"/>
      <x:c r="B53" s="2"/>
      <x:c r="C53" s="32" t="str">
        <x:v>Activated Q3:27</x:v>
      </x:c>
      <x:c r="D53" s="3" t="n">
        <x:f>0</x:f>
        <x:v>0</x:v>
      </x:c>
      <x:c r="E53" s="3" t="n">
        <x:f>0</x:f>
        <x:v>0</x:v>
      </x:c>
      <x:c r="F53" s="3" t="n">
        <x:f>0</x:f>
        <x:v>0</x:v>
      </x:c>
      <x:c r="G53" s="52" t="n">
        <x:f>'Pricing'!E36*'Pricing'!$D$43+'Pricing'!E37*'Pricing'!$E$43+'Pricing'!E38*'Pricing'!$F$43</x:f>
        <x:v>20285.159737171565</x:v>
      </x:c>
      <x:c r="H53" s="52" t="n">
        <x:f>'Pricing'!E36*'Pricing'!$D$43+'Pricing'!E37*'Pricing'!$E$43+'Pricing'!E38*'Pricing'!$F$43</x:f>
        <x:v>20285.159737171565</x:v>
      </x:c>
      <x:c r="I53" s="52" t="n">
        <x:f>'Pricing'!E36*'Pricing'!$D$43+'Pricing'!E37*'Pricing'!$E$43+'Pricing'!E38*'Pricing'!$F$43</x:f>
        <x:v>20285.159737171565</x:v>
      </x:c>
      <x:c r="J53" s="52" t="n">
        <x:f>'Pricing'!E36*'Pricing'!$D$43+'Pricing'!E37*'Pricing'!$E$43+'Pricing'!E38*'Pricing'!$F$43</x:f>
        <x:v>20285.159737171565</x:v>
      </x:c>
      <x:c r="K53" s="52" t="n">
        <x:f>'Pricing'!E36*'Pricing'!$D$44+'Pricing'!E37*'Pricing'!$E$44+'Pricing'!E38*'Pricing'!$F$44</x:f>
        <x:v>25211.182272216694</x:v>
      </x:c>
      <x:c r="L53" s="52" t="n">
        <x:f>'Pricing'!E36*'Pricing'!$D$44+'Pricing'!E37*'Pricing'!$E$44+'Pricing'!E38*'Pricing'!$F$44</x:f>
        <x:v>25211.182272216694</x:v>
      </x:c>
      <x:c r="M53" s="52" t="n">
        <x:f>'Pricing'!E36*'Pricing'!$D$44+'Pricing'!E37*'Pricing'!$E$44+'Pricing'!E38*'Pricing'!$F$44</x:f>
        <x:v>25211.182272216694</x:v>
      </x:c>
      <x:c r="N53" s="52" t="n">
        <x:f>'Pricing'!E36*'Pricing'!$D$44+'Pricing'!E37*'Pricing'!$E$44+'Pricing'!E38*'Pricing'!$F$44</x:f>
        <x:v>25211.182272216694</x:v>
      </x:c>
      <x:c r="O53" s="52" t="n">
        <x:f>'Pricing'!E36*'Pricing'!$D$45+'Pricing'!E37*'Pricing'!$E$45+'Pricing'!E38*'Pricing'!$F$45</x:f>
        <x:v>29152.000300252803</x:v>
      </x:c>
      <x:c r="P53" s="52" t="n">
        <x:f>'Pricing'!E36*'Pricing'!$D$45+'Pricing'!E37*'Pricing'!$E$45+'Pricing'!E38*'Pricing'!$F$45</x:f>
        <x:v>29152.000300252803</x:v>
      </x:c>
      <x:c r="Q53" s="52" t="n">
        <x:f>'Pricing'!E36*'Pricing'!$D$45+'Pricing'!E37*'Pricing'!$E$45+'Pricing'!E38*'Pricing'!$F$45</x:f>
        <x:v>29152.000300252803</x:v>
      </x:c>
      <x:c r="R53" s="52" t="n">
        <x:f>'Pricing'!E36*'Pricing'!$D$45+'Pricing'!E37*'Pricing'!$E$45+'Pricing'!E38*'Pricing'!$F$45</x:f>
        <x:v>29152.000300252803</x:v>
      </x:c>
      <x:c r="S53" s="52" t="n">
        <x:f>'Pricing'!E36*'Pricing'!$D$46+'Pricing'!E37*'Pricing'!$E$46+'Pricing'!E38*'Pricing'!$F$46</x:f>
        <x:v>31615.01156777537</x:v>
      </x:c>
      <x:c r="T53" s="52" t="n">
        <x:f>'Pricing'!E36*'Pricing'!$D$46+'Pricing'!E37*'Pricing'!$E$46+'Pricing'!E38*'Pricing'!$F$46</x:f>
        <x:v>31615.01156777537</x:v>
      </x:c>
    </x:row>
    <x:row r="54" ht="25" customHeight="1">
      <x:c r="A54" s="2"/>
      <x:c r="B54" s="2"/>
      <x:c r="C54" s="32" t="str">
        <x:v>Activated Q4:27</x:v>
      </x:c>
      <x:c r="D54" s="3" t="n">
        <x:f>0</x:f>
        <x:v>0</x:v>
      </x:c>
      <x:c r="E54" s="3" t="n">
        <x:f>0</x:f>
        <x:v>0</x:v>
      </x:c>
      <x:c r="F54" s="3" t="n">
        <x:f>0</x:f>
        <x:v>0</x:v>
      </x:c>
      <x:c r="G54" s="3" t="n">
        <x:f>0</x:f>
        <x:v>0</x:v>
      </x:c>
      <x:c r="H54" s="52" t="n">
        <x:f>'Pricing'!E36*'Pricing'!$D$43+'Pricing'!E37*'Pricing'!$E$43+'Pricing'!E38*'Pricing'!$F$43</x:f>
        <x:v>20285.159737171565</x:v>
      </x:c>
      <x:c r="I54" s="52" t="n">
        <x:f>'Pricing'!E36*'Pricing'!$D$43+'Pricing'!E37*'Pricing'!$E$43+'Pricing'!E38*'Pricing'!$F$43</x:f>
        <x:v>20285.159737171565</x:v>
      </x:c>
      <x:c r="J54" s="52" t="n">
        <x:f>'Pricing'!E36*'Pricing'!$D$43+'Pricing'!E37*'Pricing'!$E$43+'Pricing'!E38*'Pricing'!$F$43</x:f>
        <x:v>20285.159737171565</x:v>
      </x:c>
      <x:c r="K54" s="52" t="n">
        <x:f>'Pricing'!E36*'Pricing'!$D$43+'Pricing'!E37*'Pricing'!$E$43+'Pricing'!E38*'Pricing'!$F$43</x:f>
        <x:v>20285.159737171565</x:v>
      </x:c>
      <x:c r="L54" s="52" t="n">
        <x:f>'Pricing'!E36*'Pricing'!$D$44+'Pricing'!E37*'Pricing'!$E$44+'Pricing'!E38*'Pricing'!$F$44</x:f>
        <x:v>25211.182272216694</x:v>
      </x:c>
      <x:c r="M54" s="52" t="n">
        <x:f>'Pricing'!E36*'Pricing'!$D$44+'Pricing'!E37*'Pricing'!$E$44+'Pricing'!E38*'Pricing'!$F$44</x:f>
        <x:v>25211.182272216694</x:v>
      </x:c>
      <x:c r="N54" s="52" t="n">
        <x:f>'Pricing'!E36*'Pricing'!$D$44+'Pricing'!E37*'Pricing'!$E$44+'Pricing'!E38*'Pricing'!$F$44</x:f>
        <x:v>25211.182272216694</x:v>
      </x:c>
      <x:c r="O54" s="52" t="n">
        <x:f>'Pricing'!E36*'Pricing'!$D$44+'Pricing'!E37*'Pricing'!$E$44+'Pricing'!E38*'Pricing'!$F$44</x:f>
        <x:v>25211.182272216694</x:v>
      </x:c>
      <x:c r="P54" s="52" t="n">
        <x:f>'Pricing'!E36*'Pricing'!$D$45+'Pricing'!E37*'Pricing'!$E$45+'Pricing'!E38*'Pricing'!$F$45</x:f>
        <x:v>29152.000300252803</x:v>
      </x:c>
      <x:c r="Q54" s="52" t="n">
        <x:f>'Pricing'!E36*'Pricing'!$D$45+'Pricing'!E37*'Pricing'!$E$45+'Pricing'!E38*'Pricing'!$F$45</x:f>
        <x:v>29152.000300252803</x:v>
      </x:c>
      <x:c r="R54" s="52" t="n">
        <x:f>'Pricing'!E36*'Pricing'!$D$45+'Pricing'!E37*'Pricing'!$E$45+'Pricing'!E38*'Pricing'!$F$45</x:f>
        <x:v>29152.000300252803</x:v>
      </x:c>
      <x:c r="S54" s="52" t="n">
        <x:f>'Pricing'!E36*'Pricing'!$D$45+'Pricing'!E37*'Pricing'!$E$45+'Pricing'!E38*'Pricing'!$F$45</x:f>
        <x:v>29152.000300252803</x:v>
      </x:c>
      <x:c r="T54" s="52" t="n">
        <x:f>'Pricing'!E36*'Pricing'!$D$46+'Pricing'!E37*'Pricing'!$E$46+'Pricing'!E38*'Pricing'!$F$46</x:f>
        <x:v>31615.01156777537</x:v>
      </x:c>
    </x:row>
    <x:row r="55" ht="25" customHeight="1">
      <x:c r="A55" s="2"/>
      <x:c r="B55" s="2"/>
      <x:c r="C55" s="32" t="str">
        <x:v>Activated Q1:28</x:v>
      </x:c>
      <x:c r="D55" s="3" t="n">
        <x:f>0</x:f>
        <x:v>0</x:v>
      </x:c>
      <x:c r="E55" s="3" t="n">
        <x:f>0</x:f>
        <x:v>0</x:v>
      </x:c>
      <x:c r="F55" s="3" t="n">
        <x:f>0</x:f>
        <x:v>0</x:v>
      </x:c>
      <x:c r="G55" s="3" t="n">
        <x:f>0</x:f>
        <x:v>0</x:v>
      </x:c>
      <x:c r="H55" s="3" t="n">
        <x:f>0</x:f>
        <x:v>0</x:v>
      </x:c>
      <x:c r="I55" s="52" t="n">
        <x:f>'Pricing'!F36*'Pricing'!$D$43+'Pricing'!F37*'Pricing'!$E$43+'Pricing'!F38*'Pricing'!$F$43</x:f>
        <x:v>31024.894174291392</x:v>
      </x:c>
      <x:c r="J55" s="52" t="n">
        <x:f>'Pricing'!F36*'Pricing'!$D$43+'Pricing'!F37*'Pricing'!$E$43+'Pricing'!F38*'Pricing'!$F$43</x:f>
        <x:v>31024.894174291392</x:v>
      </x:c>
      <x:c r="K55" s="52" t="n">
        <x:f>'Pricing'!F36*'Pricing'!$D$43+'Pricing'!F37*'Pricing'!$E$43+'Pricing'!F38*'Pricing'!$F$43</x:f>
        <x:v>31024.894174291392</x:v>
      </x:c>
      <x:c r="L55" s="52" t="n">
        <x:f>'Pricing'!F36*'Pricing'!$D$43+'Pricing'!F37*'Pricing'!$E$43+'Pricing'!F38*'Pricing'!$F$43</x:f>
        <x:v>31024.894174291392</x:v>
      </x:c>
      <x:c r="M55" s="52" t="n">
        <x:f>'Pricing'!F36*'Pricing'!$D$44+'Pricing'!F37*'Pricing'!$E$44+'Pricing'!F38*'Pricing'!$F$44</x:f>
        <x:v>38447.438334240345</x:v>
      </x:c>
      <x:c r="N55" s="52" t="n">
        <x:f>'Pricing'!F36*'Pricing'!$D$44+'Pricing'!F37*'Pricing'!$E$44+'Pricing'!F38*'Pricing'!$F$44</x:f>
        <x:v>38447.438334240345</x:v>
      </x:c>
      <x:c r="O55" s="52" t="n">
        <x:f>'Pricing'!F36*'Pricing'!$D$44+'Pricing'!F37*'Pricing'!$E$44+'Pricing'!F38*'Pricing'!$F$44</x:f>
        <x:v>38447.438334240345</x:v>
      </x:c>
      <x:c r="P55" s="52" t="n">
        <x:f>'Pricing'!F36*'Pricing'!$D$44+'Pricing'!F37*'Pricing'!$E$44+'Pricing'!F38*'Pricing'!$F$44</x:f>
        <x:v>38447.438334240345</x:v>
      </x:c>
      <x:c r="Q55" s="52" t="n">
        <x:f>'Pricing'!F36*'Pricing'!$D$45+'Pricing'!F37*'Pricing'!$E$45+'Pricing'!F38*'Pricing'!$F$45</x:f>
        <x:v>44385.47366219952</x:v>
      </x:c>
      <x:c r="R55" s="52" t="n">
        <x:f>'Pricing'!F36*'Pricing'!$D$45+'Pricing'!F37*'Pricing'!$E$45+'Pricing'!F38*'Pricing'!$F$45</x:f>
        <x:v>44385.47366219952</x:v>
      </x:c>
      <x:c r="S55" s="52" t="n">
        <x:f>'Pricing'!F36*'Pricing'!$D$45+'Pricing'!F37*'Pricing'!$E$45+'Pricing'!F38*'Pricing'!$F$45</x:f>
        <x:v>44385.47366219952</x:v>
      </x:c>
      <x:c r="T55" s="52" t="n">
        <x:f>'Pricing'!F36*'Pricing'!$D$45+'Pricing'!F37*'Pricing'!$E$45+'Pricing'!F38*'Pricing'!$F$45</x:f>
        <x:v>44385.47366219952</x:v>
      </x:c>
    </x:row>
    <x:row r="56" ht="25" customHeight="1">
      <x:c r="A56" s="2"/>
      <x:c r="B56" s="2"/>
      <x:c r="C56" s="32" t="str">
        <x:v>Activated Q2:28</x:v>
      </x:c>
      <x:c r="D56" s="3" t="n">
        <x:f>0</x:f>
        <x:v>0</x:v>
      </x:c>
      <x:c r="E56" s="3" t="n">
        <x:f>0</x:f>
        <x:v>0</x:v>
      </x:c>
      <x:c r="F56" s="3" t="n">
        <x:f>0</x:f>
        <x:v>0</x:v>
      </x:c>
      <x:c r="G56" s="3" t="n">
        <x:f>0</x:f>
        <x:v>0</x:v>
      </x:c>
      <x:c r="H56" s="3" t="n">
        <x:f>0</x:f>
        <x:v>0</x:v>
      </x:c>
      <x:c r="I56" s="3" t="n">
        <x:f>0</x:f>
        <x:v>0</x:v>
      </x:c>
      <x:c r="J56" s="52" t="n">
        <x:f>'Pricing'!F36*'Pricing'!$D$43+'Pricing'!F37*'Pricing'!$E$43+'Pricing'!F38*'Pricing'!$F$43</x:f>
        <x:v>31024.894174291392</x:v>
      </x:c>
      <x:c r="K56" s="52" t="n">
        <x:f>'Pricing'!F36*'Pricing'!$D$43+'Pricing'!F37*'Pricing'!$E$43+'Pricing'!F38*'Pricing'!$F$43</x:f>
        <x:v>31024.894174291392</x:v>
      </x:c>
      <x:c r="L56" s="52" t="n">
        <x:f>'Pricing'!F36*'Pricing'!$D$43+'Pricing'!F37*'Pricing'!$E$43+'Pricing'!F38*'Pricing'!$F$43</x:f>
        <x:v>31024.894174291392</x:v>
      </x:c>
      <x:c r="M56" s="52" t="n">
        <x:f>'Pricing'!F36*'Pricing'!$D$43+'Pricing'!F37*'Pricing'!$E$43+'Pricing'!F38*'Pricing'!$F$43</x:f>
        <x:v>31024.894174291392</x:v>
      </x:c>
      <x:c r="N56" s="52" t="n">
        <x:f>'Pricing'!F36*'Pricing'!$D$44+'Pricing'!F37*'Pricing'!$E$44+'Pricing'!F38*'Pricing'!$F$44</x:f>
        <x:v>38447.438334240345</x:v>
      </x:c>
      <x:c r="O56" s="52" t="n">
        <x:f>'Pricing'!F36*'Pricing'!$D$44+'Pricing'!F37*'Pricing'!$E$44+'Pricing'!F38*'Pricing'!$F$44</x:f>
        <x:v>38447.438334240345</x:v>
      </x:c>
      <x:c r="P56" s="52" t="n">
        <x:f>'Pricing'!F36*'Pricing'!$D$44+'Pricing'!F37*'Pricing'!$E$44+'Pricing'!F38*'Pricing'!$F$44</x:f>
        <x:v>38447.438334240345</x:v>
      </x:c>
      <x:c r="Q56" s="52" t="n">
        <x:f>'Pricing'!F36*'Pricing'!$D$44+'Pricing'!F37*'Pricing'!$E$44+'Pricing'!F38*'Pricing'!$F$44</x:f>
        <x:v>38447.438334240345</x:v>
      </x:c>
      <x:c r="R56" s="52" t="n">
        <x:f>'Pricing'!F36*'Pricing'!$D$45+'Pricing'!F37*'Pricing'!$E$45+'Pricing'!F38*'Pricing'!$F$45</x:f>
        <x:v>44385.47366219952</x:v>
      </x:c>
      <x:c r="S56" s="52" t="n">
        <x:f>'Pricing'!F36*'Pricing'!$D$45+'Pricing'!F37*'Pricing'!$E$45+'Pricing'!F38*'Pricing'!$F$45</x:f>
        <x:v>44385.47366219952</x:v>
      </x:c>
      <x:c r="T56" s="52" t="n">
        <x:f>'Pricing'!F36*'Pricing'!$D$45+'Pricing'!F37*'Pricing'!$E$45+'Pricing'!F38*'Pricing'!$F$45</x:f>
        <x:v>44385.47366219952</x:v>
      </x:c>
    </x:row>
    <x:row r="57" ht="25" customHeight="1">
      <x:c r="A57" s="2"/>
      <x:c r="B57" s="2"/>
      <x:c r="C57" s="32" t="str">
        <x:v>Activated Q3:28</x:v>
      </x:c>
      <x:c r="D57" s="3" t="n">
        <x:f>0</x:f>
        <x:v>0</x:v>
      </x:c>
      <x:c r="E57" s="3" t="n">
        <x:f>0</x:f>
        <x:v>0</x:v>
      </x:c>
      <x:c r="F57" s="3" t="n">
        <x:f>0</x:f>
        <x:v>0</x:v>
      </x:c>
      <x:c r="G57" s="3" t="n">
        <x:f>0</x:f>
        <x:v>0</x:v>
      </x:c>
      <x:c r="H57" s="3" t="n">
        <x:f>0</x:f>
        <x:v>0</x:v>
      </x:c>
      <x:c r="I57" s="3" t="n">
        <x:f>0</x:f>
        <x:v>0</x:v>
      </x:c>
      <x:c r="J57" s="3" t="n">
        <x:f>0</x:f>
        <x:v>0</x:v>
      </x:c>
      <x:c r="K57" s="52" t="n">
        <x:f>'Pricing'!F36*'Pricing'!$D$43+'Pricing'!F37*'Pricing'!$E$43+'Pricing'!F38*'Pricing'!$F$43</x:f>
        <x:v>31024.894174291392</x:v>
      </x:c>
      <x:c r="L57" s="52" t="n">
        <x:f>'Pricing'!F36*'Pricing'!$D$43+'Pricing'!F37*'Pricing'!$E$43+'Pricing'!F38*'Pricing'!$F$43</x:f>
        <x:v>31024.894174291392</x:v>
      </x:c>
      <x:c r="M57" s="52" t="n">
        <x:f>'Pricing'!F36*'Pricing'!$D$43+'Pricing'!F37*'Pricing'!$E$43+'Pricing'!F38*'Pricing'!$F$43</x:f>
        <x:v>31024.894174291392</x:v>
      </x:c>
      <x:c r="N57" s="52" t="n">
        <x:f>'Pricing'!F36*'Pricing'!$D$43+'Pricing'!F37*'Pricing'!$E$43+'Pricing'!F38*'Pricing'!$F$43</x:f>
        <x:v>31024.894174291392</x:v>
      </x:c>
      <x:c r="O57" s="52" t="n">
        <x:f>'Pricing'!F36*'Pricing'!$D$44+'Pricing'!F37*'Pricing'!$E$44+'Pricing'!F38*'Pricing'!$F$44</x:f>
        <x:v>38447.438334240345</x:v>
      </x:c>
      <x:c r="P57" s="52" t="n">
        <x:f>'Pricing'!F36*'Pricing'!$D$44+'Pricing'!F37*'Pricing'!$E$44+'Pricing'!F38*'Pricing'!$F$44</x:f>
        <x:v>38447.438334240345</x:v>
      </x:c>
      <x:c r="Q57" s="52" t="n">
        <x:f>'Pricing'!F36*'Pricing'!$D$44+'Pricing'!F37*'Pricing'!$E$44+'Pricing'!F38*'Pricing'!$F$44</x:f>
        <x:v>38447.438334240345</x:v>
      </x:c>
      <x:c r="R57" s="52" t="n">
        <x:f>'Pricing'!F36*'Pricing'!$D$44+'Pricing'!F37*'Pricing'!$E$44+'Pricing'!F38*'Pricing'!$F$44</x:f>
        <x:v>38447.438334240345</x:v>
      </x:c>
      <x:c r="S57" s="52" t="n">
        <x:f>'Pricing'!F36*'Pricing'!$D$45+'Pricing'!F37*'Pricing'!$E$45+'Pricing'!F38*'Pricing'!$F$45</x:f>
        <x:v>44385.47366219952</x:v>
      </x:c>
      <x:c r="T57" s="52" t="n">
        <x:f>'Pricing'!F36*'Pricing'!$D$45+'Pricing'!F37*'Pricing'!$E$45+'Pricing'!F38*'Pricing'!$F$45</x:f>
        <x:v>44385.47366219952</x:v>
      </x:c>
    </x:row>
    <x:row r="58" ht="25" customHeight="1">
      <x:c r="A58" s="2"/>
      <x:c r="B58" s="2"/>
      <x:c r="C58" s="32" t="str">
        <x:v>Activated Q4:28</x:v>
      </x:c>
      <x:c r="D58" s="3" t="n">
        <x:f>0</x:f>
        <x:v>0</x:v>
      </x:c>
      <x:c r="E58" s="3" t="n">
        <x:f>0</x:f>
        <x:v>0</x:v>
      </x:c>
      <x:c r="F58" s="3" t="n">
        <x:f>0</x:f>
        <x:v>0</x:v>
      </x:c>
      <x:c r="G58" s="3" t="n">
        <x:f>0</x:f>
        <x:v>0</x:v>
      </x:c>
      <x:c r="H58" s="3" t="n">
        <x:f>0</x:f>
        <x:v>0</x:v>
      </x:c>
      <x:c r="I58" s="3" t="n">
        <x:f>0</x:f>
        <x:v>0</x:v>
      </x:c>
      <x:c r="J58" s="3" t="n">
        <x:f>0</x:f>
        <x:v>0</x:v>
      </x:c>
      <x:c r="K58" s="3" t="n">
        <x:f>0</x:f>
        <x:v>0</x:v>
      </x:c>
      <x:c r="L58" s="52" t="n">
        <x:f>'Pricing'!F36*'Pricing'!$D$43+'Pricing'!F37*'Pricing'!$E$43+'Pricing'!F38*'Pricing'!$F$43</x:f>
        <x:v>31024.894174291392</x:v>
      </x:c>
      <x:c r="M58" s="52" t="n">
        <x:f>'Pricing'!F36*'Pricing'!$D$43+'Pricing'!F37*'Pricing'!$E$43+'Pricing'!F38*'Pricing'!$F$43</x:f>
        <x:v>31024.894174291392</x:v>
      </x:c>
      <x:c r="N58" s="52" t="n">
        <x:f>'Pricing'!F36*'Pricing'!$D$43+'Pricing'!F37*'Pricing'!$E$43+'Pricing'!F38*'Pricing'!$F$43</x:f>
        <x:v>31024.894174291392</x:v>
      </x:c>
      <x:c r="O58" s="52" t="n">
        <x:f>'Pricing'!F36*'Pricing'!$D$43+'Pricing'!F37*'Pricing'!$E$43+'Pricing'!F38*'Pricing'!$F$43</x:f>
        <x:v>31024.894174291392</x:v>
      </x:c>
      <x:c r="P58" s="52" t="n">
        <x:f>'Pricing'!F36*'Pricing'!$D$44+'Pricing'!F37*'Pricing'!$E$44+'Pricing'!F38*'Pricing'!$F$44</x:f>
        <x:v>38447.438334240345</x:v>
      </x:c>
      <x:c r="Q58" s="52" t="n">
        <x:f>'Pricing'!F36*'Pricing'!$D$44+'Pricing'!F37*'Pricing'!$E$44+'Pricing'!F38*'Pricing'!$F$44</x:f>
        <x:v>38447.438334240345</x:v>
      </x:c>
      <x:c r="R58" s="52" t="n">
        <x:f>'Pricing'!F36*'Pricing'!$D$44+'Pricing'!F37*'Pricing'!$E$44+'Pricing'!F38*'Pricing'!$F$44</x:f>
        <x:v>38447.438334240345</x:v>
      </x:c>
      <x:c r="S58" s="52" t="n">
        <x:f>'Pricing'!F36*'Pricing'!$D$44+'Pricing'!F37*'Pricing'!$E$44+'Pricing'!F38*'Pricing'!$F$44</x:f>
        <x:v>38447.438334240345</x:v>
      </x:c>
      <x:c r="T58" s="52" t="n">
        <x:f>'Pricing'!F36*'Pricing'!$D$45+'Pricing'!F37*'Pricing'!$E$45+'Pricing'!F38*'Pricing'!$F$45</x:f>
        <x:v>44385.47366219952</x:v>
      </x:c>
    </x:row>
    <x:row r="59" ht="25" customHeight="1">
      <x:c r="A59" s="2"/>
      <x:c r="B59" s="2"/>
      <x:c r="C59" s="32" t="str">
        <x:v>Activated Q1:29</x:v>
      </x:c>
      <x:c r="D59" s="3" t="n">
        <x:f>0</x:f>
        <x:v>0</x:v>
      </x:c>
      <x:c r="E59" s="3" t="n">
        <x:f>0</x:f>
        <x:v>0</x:v>
      </x:c>
      <x:c r="F59" s="3" t="n">
        <x:f>0</x:f>
        <x:v>0</x:v>
      </x:c>
      <x:c r="G59" s="3" t="n">
        <x:f>0</x:f>
        <x:v>0</x:v>
      </x:c>
      <x:c r="H59" s="3" t="n">
        <x:f>0</x:f>
        <x:v>0</x:v>
      </x:c>
      <x:c r="I59" s="3" t="n">
        <x:f>0</x:f>
        <x:v>0</x:v>
      </x:c>
      <x:c r="J59" s="3" t="n">
        <x:f>0</x:f>
        <x:v>0</x:v>
      </x:c>
      <x:c r="K59" s="3" t="n">
        <x:f>0</x:f>
        <x:v>0</x:v>
      </x:c>
      <x:c r="L59" s="3" t="n">
        <x:f>0</x:f>
        <x:v>0</x:v>
      </x:c>
      <x:c r="M59" s="52" t="n">
        <x:f>'Pricing'!G36*'Pricing'!$D$43+'Pricing'!G37*'Pricing'!$E$43+'Pricing'!G38*'Pricing'!$F$43</x:f>
        <x:v>34472.10463810155</x:v>
      </x:c>
      <x:c r="N59" s="52" t="n">
        <x:f>'Pricing'!G36*'Pricing'!$D$43+'Pricing'!G37*'Pricing'!$E$43+'Pricing'!G38*'Pricing'!$F$43</x:f>
        <x:v>34472.10463810155</x:v>
      </x:c>
      <x:c r="O59" s="52" t="n">
        <x:f>'Pricing'!G36*'Pricing'!$D$43+'Pricing'!G37*'Pricing'!$E$43+'Pricing'!G38*'Pricing'!$F$43</x:f>
        <x:v>34472.10463810155</x:v>
      </x:c>
      <x:c r="P59" s="52" t="n">
        <x:f>'Pricing'!G36*'Pricing'!$D$43+'Pricing'!G37*'Pricing'!$E$43+'Pricing'!G38*'Pricing'!$F$43</x:f>
        <x:v>34472.10463810155</x:v>
      </x:c>
      <x:c r="Q59" s="52" t="n">
        <x:f>'Pricing'!G36*'Pricing'!$D$44+'Pricing'!G37*'Pricing'!$E$44+'Pricing'!G38*'Pricing'!$F$44</x:f>
        <x:v>42682.1421965101</x:v>
      </x:c>
      <x:c r="R59" s="52" t="n">
        <x:f>'Pricing'!G36*'Pricing'!$D$44+'Pricing'!G37*'Pricing'!$E$44+'Pricing'!G38*'Pricing'!$F$44</x:f>
        <x:v>42682.1421965101</x:v>
      </x:c>
      <x:c r="S59" s="52" t="n">
        <x:f>'Pricing'!G36*'Pricing'!$D$44+'Pricing'!G37*'Pricing'!$E$44+'Pricing'!G38*'Pricing'!$F$44</x:f>
        <x:v>42682.1421965101</x:v>
      </x:c>
      <x:c r="T59" s="52" t="n">
        <x:f>'Pricing'!G36*'Pricing'!$D$44+'Pricing'!G37*'Pricing'!$E$44+'Pricing'!G38*'Pricing'!$F$44</x:f>
        <x:v>42682.1421965101</x:v>
      </x:c>
    </x:row>
    <x:row r="60" ht="25" customHeight="1">
      <x:c r="A60" s="2"/>
      <x:c r="B60" s="2"/>
      <x:c r="C60" s="32" t="str">
        <x:v>Activated Q2:29</x:v>
      </x:c>
      <x:c r="D60" s="3" t="n">
        <x:f>0</x:f>
        <x:v>0</x:v>
      </x:c>
      <x:c r="E60" s="3" t="n">
        <x:f>0</x:f>
        <x:v>0</x:v>
      </x:c>
      <x:c r="F60" s="3" t="n">
        <x:f>0</x:f>
        <x:v>0</x:v>
      </x:c>
      <x:c r="G60" s="3" t="n">
        <x:f>0</x:f>
        <x:v>0</x:v>
      </x:c>
      <x:c r="H60" s="3" t="n">
        <x:f>0</x:f>
        <x:v>0</x:v>
      </x:c>
      <x:c r="I60" s="3" t="n">
        <x:f>0</x:f>
        <x:v>0</x:v>
      </x:c>
      <x:c r="J60" s="3" t="n">
        <x:f>0</x:f>
        <x:v>0</x:v>
      </x:c>
      <x:c r="K60" s="3" t="n">
        <x:f>0</x:f>
        <x:v>0</x:v>
      </x:c>
      <x:c r="L60" s="3" t="n">
        <x:f>0</x:f>
        <x:v>0</x:v>
      </x:c>
      <x:c r="M60" s="3" t="n">
        <x:f>0</x:f>
        <x:v>0</x:v>
      </x:c>
      <x:c r="N60" s="52" t="n">
        <x:f>'Pricing'!G36*'Pricing'!$D$43+'Pricing'!G37*'Pricing'!$E$43+'Pricing'!G38*'Pricing'!$F$43</x:f>
        <x:v>34472.10463810155</x:v>
      </x:c>
      <x:c r="O60" s="52" t="n">
        <x:f>'Pricing'!G36*'Pricing'!$D$43+'Pricing'!G37*'Pricing'!$E$43+'Pricing'!G38*'Pricing'!$F$43</x:f>
        <x:v>34472.10463810155</x:v>
      </x:c>
      <x:c r="P60" s="52" t="n">
        <x:f>'Pricing'!G36*'Pricing'!$D$43+'Pricing'!G37*'Pricing'!$E$43+'Pricing'!G38*'Pricing'!$F$43</x:f>
        <x:v>34472.10463810155</x:v>
      </x:c>
      <x:c r="Q60" s="52" t="n">
        <x:f>'Pricing'!G36*'Pricing'!$D$43+'Pricing'!G37*'Pricing'!$E$43+'Pricing'!G38*'Pricing'!$F$43</x:f>
        <x:v>34472.10463810155</x:v>
      </x:c>
      <x:c r="R60" s="52" t="n">
        <x:f>'Pricing'!G36*'Pricing'!$D$44+'Pricing'!G37*'Pricing'!$E$44+'Pricing'!G38*'Pricing'!$F$44</x:f>
        <x:v>42682.1421965101</x:v>
      </x:c>
      <x:c r="S60" s="52" t="n">
        <x:f>'Pricing'!G36*'Pricing'!$D$44+'Pricing'!G37*'Pricing'!$E$44+'Pricing'!G38*'Pricing'!$F$44</x:f>
        <x:v>42682.1421965101</x:v>
      </x:c>
      <x:c r="T60" s="52" t="n">
        <x:f>'Pricing'!G36*'Pricing'!$D$44+'Pricing'!G37*'Pricing'!$E$44+'Pricing'!G38*'Pricing'!$F$44</x:f>
        <x:v>42682.1421965101</x:v>
      </x:c>
    </x:row>
    <x:row r="61" ht="25" customHeight="1">
      <x:c r="A61" s="2"/>
      <x:c r="B61" s="2"/>
      <x:c r="C61" s="32" t="str">
        <x:v>Activated Q3:29</x:v>
      </x:c>
      <x:c r="D61" s="3" t="n">
        <x:f>0</x:f>
        <x:v>0</x:v>
      </x:c>
      <x:c r="E61" s="3" t="n">
        <x:f>0</x:f>
        <x:v>0</x:v>
      </x:c>
      <x:c r="F61" s="3" t="n">
        <x:f>0</x:f>
        <x:v>0</x:v>
      </x:c>
      <x:c r="G61" s="3" t="n">
        <x:f>0</x:f>
        <x:v>0</x:v>
      </x:c>
      <x:c r="H61" s="3" t="n">
        <x:f>0</x:f>
        <x:v>0</x:v>
      </x:c>
      <x:c r="I61" s="3" t="n">
        <x:f>0</x:f>
        <x:v>0</x:v>
      </x:c>
      <x:c r="J61" s="3" t="n">
        <x:f>0</x:f>
        <x:v>0</x:v>
      </x:c>
      <x:c r="K61" s="3" t="n">
        <x:f>0</x:f>
        <x:v>0</x:v>
      </x:c>
      <x:c r="L61" s="3" t="n">
        <x:f>0</x:f>
        <x:v>0</x:v>
      </x:c>
      <x:c r="M61" s="3" t="n">
        <x:f>0</x:f>
        <x:v>0</x:v>
      </x:c>
      <x:c r="N61" s="3" t="n">
        <x:f>0</x:f>
        <x:v>0</x:v>
      </x:c>
      <x:c r="O61" s="52" t="n">
        <x:f>'Pricing'!G36*'Pricing'!$D$43+'Pricing'!G37*'Pricing'!$E$43+'Pricing'!G38*'Pricing'!$F$43</x:f>
        <x:v>34472.10463810155</x:v>
      </x:c>
      <x:c r="P61" s="52" t="n">
        <x:f>'Pricing'!G36*'Pricing'!$D$43+'Pricing'!G37*'Pricing'!$E$43+'Pricing'!G38*'Pricing'!$F$43</x:f>
        <x:v>34472.10463810155</x:v>
      </x:c>
      <x:c r="Q61" s="52" t="n">
        <x:f>'Pricing'!G36*'Pricing'!$D$43+'Pricing'!G37*'Pricing'!$E$43+'Pricing'!G38*'Pricing'!$F$43</x:f>
        <x:v>34472.10463810155</x:v>
      </x:c>
      <x:c r="R61" s="52" t="n">
        <x:f>'Pricing'!G36*'Pricing'!$D$43+'Pricing'!G37*'Pricing'!$E$43+'Pricing'!G38*'Pricing'!$F$43</x:f>
        <x:v>34472.10463810155</x:v>
      </x:c>
      <x:c r="S61" s="52" t="n">
        <x:f>'Pricing'!G36*'Pricing'!$D$44+'Pricing'!G37*'Pricing'!$E$44+'Pricing'!G38*'Pricing'!$F$44</x:f>
        <x:v>42682.1421965101</x:v>
      </x:c>
      <x:c r="T61" s="52" t="n">
        <x:f>'Pricing'!G36*'Pricing'!$D$44+'Pricing'!G37*'Pricing'!$E$44+'Pricing'!G38*'Pricing'!$F$44</x:f>
        <x:v>42682.1421965101</x:v>
      </x:c>
    </x:row>
    <x:row r="62" ht="25" customHeight="1">
      <x:c r="A62" s="2"/>
      <x:c r="B62" s="2"/>
      <x:c r="C62" s="32" t="str">
        <x:v>Activated Q4:29</x:v>
      </x:c>
      <x:c r="D62" s="3" t="n">
        <x:f>0</x:f>
        <x:v>0</x:v>
      </x:c>
      <x:c r="E62" s="3" t="n">
        <x:f>0</x:f>
        <x:v>0</x:v>
      </x:c>
      <x:c r="F62" s="3" t="n">
        <x:f>0</x:f>
        <x:v>0</x:v>
      </x:c>
      <x:c r="G62" s="3" t="n">
        <x:f>0</x:f>
        <x:v>0</x:v>
      </x:c>
      <x:c r="H62" s="3" t="n">
        <x:f>0</x:f>
        <x:v>0</x:v>
      </x:c>
      <x:c r="I62" s="3" t="n">
        <x:f>0</x:f>
        <x:v>0</x:v>
      </x:c>
      <x:c r="J62" s="3" t="n">
        <x:f>0</x:f>
        <x:v>0</x:v>
      </x:c>
      <x:c r="K62" s="3" t="n">
        <x:f>0</x:f>
        <x:v>0</x:v>
      </x:c>
      <x:c r="L62" s="3" t="n">
        <x:f>0</x:f>
        <x:v>0</x:v>
      </x:c>
      <x:c r="M62" s="3" t="n">
        <x:f>0</x:f>
        <x:v>0</x:v>
      </x:c>
      <x:c r="N62" s="3" t="n">
        <x:f>0</x:f>
        <x:v>0</x:v>
      </x:c>
      <x:c r="O62" s="3" t="n">
        <x:f>0</x:f>
        <x:v>0</x:v>
      </x:c>
      <x:c r="P62" s="52" t="n">
        <x:f>'Pricing'!G36*'Pricing'!$D$43+'Pricing'!G37*'Pricing'!$E$43+'Pricing'!G38*'Pricing'!$F$43</x:f>
        <x:v>34472.10463810155</x:v>
      </x:c>
      <x:c r="Q62" s="52" t="n">
        <x:f>'Pricing'!G36*'Pricing'!$D$43+'Pricing'!G37*'Pricing'!$E$43+'Pricing'!G38*'Pricing'!$F$43</x:f>
        <x:v>34472.10463810155</x:v>
      </x:c>
      <x:c r="R62" s="52" t="n">
        <x:f>'Pricing'!G36*'Pricing'!$D$43+'Pricing'!G37*'Pricing'!$E$43+'Pricing'!G38*'Pricing'!$F$43</x:f>
        <x:v>34472.10463810155</x:v>
      </x:c>
      <x:c r="S62" s="52" t="n">
        <x:f>'Pricing'!G36*'Pricing'!$D$43+'Pricing'!G37*'Pricing'!$E$43+'Pricing'!G38*'Pricing'!$F$43</x:f>
        <x:v>34472.10463810155</x:v>
      </x:c>
      <x:c r="T62" s="52" t="n">
        <x:f>'Pricing'!G36*'Pricing'!$D$44+'Pricing'!G37*'Pricing'!$E$44+'Pricing'!G38*'Pricing'!$F$44</x:f>
        <x:v>42682.1421965101</x:v>
      </x:c>
    </x:row>
    <x:row r="63" ht="25" customHeight="1">
      <x:c r="A63" s="2"/>
      <x:c r="B63" s="2"/>
      <x:c r="C63" s="32" t="str">
        <x:v>Activated Q1:30</x:v>
      </x:c>
      <x:c r="D63" s="3" t="n">
        <x:f>0</x:f>
        <x:v>0</x:v>
      </x:c>
      <x:c r="E63" s="3" t="n">
        <x:f>0</x:f>
        <x:v>0</x:v>
      </x:c>
      <x:c r="F63" s="3" t="n">
        <x:f>0</x:f>
        <x:v>0</x:v>
      </x:c>
      <x:c r="G63" s="3" t="n">
        <x:f>0</x:f>
        <x:v>0</x:v>
      </x:c>
      <x:c r="H63" s="3" t="n">
        <x:f>0</x:f>
        <x:v>0</x:v>
      </x:c>
      <x:c r="I63" s="3" t="n">
        <x:f>0</x:f>
        <x:v>0</x:v>
      </x:c>
      <x:c r="J63" s="3" t="n">
        <x:f>0</x:f>
        <x:v>0</x:v>
      </x:c>
      <x:c r="K63" s="3" t="n">
        <x:f>0</x:f>
        <x:v>0</x:v>
      </x:c>
      <x:c r="L63" s="3" t="n">
        <x:f>0</x:f>
        <x:v>0</x:v>
      </x:c>
      <x:c r="M63" s="3" t="n">
        <x:f>0</x:f>
        <x:v>0</x:v>
      </x:c>
      <x:c r="N63" s="3" t="n">
        <x:f>0</x:f>
        <x:v>0</x:v>
      </x:c>
      <x:c r="O63" s="3" t="n">
        <x:f>0</x:f>
        <x:v>0</x:v>
      </x:c>
      <x:c r="P63" s="3" t="n">
        <x:f>0</x:f>
        <x:v>0</x:v>
      </x:c>
      <x:c r="Q63" s="52" t="n">
        <x:f>'Pricing'!H36*'Pricing'!$D$43+'Pricing'!H37*'Pricing'!$E$43+'Pricing'!H38*'Pricing'!$F$43</x:f>
        <x:v>41562.896259976034</x:v>
      </x:c>
      <x:c r="R63" s="52" t="n">
        <x:f>'Pricing'!H36*'Pricing'!$D$43+'Pricing'!H37*'Pricing'!$E$43+'Pricing'!H38*'Pricing'!$F$43</x:f>
        <x:v>41562.896259976034</x:v>
      </x:c>
      <x:c r="S63" s="52" t="n">
        <x:f>'Pricing'!H36*'Pricing'!$D$43+'Pricing'!H37*'Pricing'!$E$43+'Pricing'!H38*'Pricing'!$F$43</x:f>
        <x:v>41562.896259976034</x:v>
      </x:c>
      <x:c r="T63" s="52" t="n">
        <x:f>'Pricing'!H36*'Pricing'!$D$43+'Pricing'!H37*'Pricing'!$E$43+'Pricing'!H38*'Pricing'!$F$43</x:f>
        <x:v>41562.896259976034</x:v>
      </x:c>
    </x:row>
    <x:row r="64" ht="25" customHeight="1">
      <x:c r="A64" s="2"/>
      <x:c r="B64" s="2"/>
      <x:c r="C64" s="32" t="str">
        <x:v>Activated Q2:30</x:v>
      </x:c>
      <x:c r="D64" s="3" t="n">
        <x:f>0</x:f>
        <x:v>0</x:v>
      </x:c>
      <x:c r="E64" s="3" t="n">
        <x:f>0</x:f>
        <x:v>0</x:v>
      </x:c>
      <x:c r="F64" s="3" t="n">
        <x:f>0</x:f>
        <x:v>0</x:v>
      </x:c>
      <x:c r="G64" s="3" t="n">
        <x:f>0</x:f>
        <x:v>0</x:v>
      </x:c>
      <x:c r="H64" s="3" t="n">
        <x:f>0</x:f>
        <x:v>0</x:v>
      </x:c>
      <x:c r="I64" s="3" t="n">
        <x:f>0</x:f>
        <x:v>0</x:v>
      </x:c>
      <x:c r="J64" s="3" t="n">
        <x:f>0</x:f>
        <x:v>0</x:v>
      </x:c>
      <x:c r="K64" s="3" t="n">
        <x:f>0</x:f>
        <x:v>0</x:v>
      </x:c>
      <x:c r="L64" s="3" t="n">
        <x:f>0</x:f>
        <x:v>0</x:v>
      </x:c>
      <x:c r="M64" s="3" t="n">
        <x:f>0</x:f>
        <x:v>0</x:v>
      </x:c>
      <x:c r="N64" s="3" t="n">
        <x:f>0</x:f>
        <x:v>0</x:v>
      </x:c>
      <x:c r="O64" s="3" t="n">
        <x:f>0</x:f>
        <x:v>0</x:v>
      </x:c>
      <x:c r="P64" s="3" t="n">
        <x:f>0</x:f>
        <x:v>0</x:v>
      </x:c>
      <x:c r="Q64" s="3" t="n">
        <x:f>0</x:f>
        <x:v>0</x:v>
      </x:c>
      <x:c r="R64" s="52" t="n">
        <x:f>'Pricing'!H36*'Pricing'!$D$43+'Pricing'!H37*'Pricing'!$E$43+'Pricing'!H38*'Pricing'!$F$43</x:f>
        <x:v>41562.896259976034</x:v>
      </x:c>
      <x:c r="S64" s="52" t="n">
        <x:f>'Pricing'!H36*'Pricing'!$D$43+'Pricing'!H37*'Pricing'!$E$43+'Pricing'!H38*'Pricing'!$F$43</x:f>
        <x:v>41562.896259976034</x:v>
      </x:c>
      <x:c r="T64" s="52" t="n">
        <x:f>'Pricing'!H36*'Pricing'!$D$43+'Pricing'!H37*'Pricing'!$E$43+'Pricing'!H38*'Pricing'!$F$43</x:f>
        <x:v>41562.896259976034</x:v>
      </x:c>
    </x:row>
    <x:row r="65" ht="25" customHeight="1">
      <x:c r="A65" s="2"/>
      <x:c r="B65" s="2"/>
      <x:c r="C65" s="32" t="str">
        <x:v>Activated Q3:30</x:v>
      </x:c>
      <x:c r="D65" s="3" t="n">
        <x:f>0</x:f>
        <x:v>0</x:v>
      </x:c>
      <x:c r="E65" s="3" t="n">
        <x:f>0</x:f>
        <x:v>0</x:v>
      </x:c>
      <x:c r="F65" s="3" t="n">
        <x:f>0</x:f>
        <x:v>0</x:v>
      </x:c>
      <x:c r="G65" s="3" t="n">
        <x:f>0</x:f>
        <x:v>0</x:v>
      </x:c>
      <x:c r="H65" s="3" t="n">
        <x:f>0</x:f>
        <x:v>0</x:v>
      </x:c>
      <x:c r="I65" s="3" t="n">
        <x:f>0</x:f>
        <x:v>0</x:v>
      </x:c>
      <x:c r="J65" s="3" t="n">
        <x:f>0</x:f>
        <x:v>0</x:v>
      </x:c>
      <x:c r="K65" s="3" t="n">
        <x:f>0</x:f>
        <x:v>0</x:v>
      </x:c>
      <x:c r="L65" s="3" t="n">
        <x:f>0</x:f>
        <x:v>0</x:v>
      </x:c>
      <x:c r="M65" s="3" t="n">
        <x:f>0</x:f>
        <x:v>0</x:v>
      </x:c>
      <x:c r="N65" s="3" t="n">
        <x:f>0</x:f>
        <x:v>0</x:v>
      </x:c>
      <x:c r="O65" s="3" t="n">
        <x:f>0</x:f>
        <x:v>0</x:v>
      </x:c>
      <x:c r="P65" s="3" t="n">
        <x:f>0</x:f>
        <x:v>0</x:v>
      </x:c>
      <x:c r="Q65" s="3" t="n">
        <x:f>0</x:f>
        <x:v>0</x:v>
      </x:c>
      <x:c r="R65" s="3" t="n">
        <x:f>0</x:f>
        <x:v>0</x:v>
      </x:c>
      <x:c r="S65" s="52" t="n">
        <x:f>'Pricing'!H36*'Pricing'!$D$43+'Pricing'!H37*'Pricing'!$E$43+'Pricing'!H38*'Pricing'!$F$43</x:f>
        <x:v>41562.896259976034</x:v>
      </x:c>
      <x:c r="T65" s="52" t="n">
        <x:f>'Pricing'!H36*'Pricing'!$D$43+'Pricing'!H37*'Pricing'!$E$43+'Pricing'!H38*'Pricing'!$F$43</x:f>
        <x:v>41562.896259976034</x:v>
      </x:c>
    </x:row>
    <x:row r="66" ht="25" customHeight="1">
      <x:c r="A66" s="2"/>
      <x:c r="B66" s="2"/>
      <x:c r="C66" s="32" t="str">
        <x:v>Activated Q4:30</x:v>
      </x:c>
      <x:c r="D66" s="3" t="n">
        <x:f>0</x:f>
        <x:v>0</x:v>
      </x:c>
      <x:c r="E66" s="3" t="n">
        <x:f>0</x:f>
        <x:v>0</x:v>
      </x:c>
      <x:c r="F66" s="3" t="n">
        <x:f>0</x:f>
        <x:v>0</x:v>
      </x:c>
      <x:c r="G66" s="3" t="n">
        <x:f>0</x:f>
        <x:v>0</x:v>
      </x:c>
      <x:c r="H66" s="3" t="n">
        <x:f>0</x:f>
        <x:v>0</x:v>
      </x:c>
      <x:c r="I66" s="3" t="n">
        <x:f>0</x:f>
        <x:v>0</x:v>
      </x:c>
      <x:c r="J66" s="3" t="n">
        <x:f>0</x:f>
        <x:v>0</x:v>
      </x:c>
      <x:c r="K66" s="3" t="n">
        <x:f>0</x:f>
        <x:v>0</x:v>
      </x:c>
      <x:c r="L66" s="3" t="n">
        <x:f>0</x:f>
        <x:v>0</x:v>
      </x:c>
      <x:c r="M66" s="3" t="n">
        <x:f>0</x:f>
        <x:v>0</x:v>
      </x:c>
      <x:c r="N66" s="3" t="n">
        <x:f>0</x:f>
        <x:v>0</x:v>
      </x:c>
      <x:c r="O66" s="3" t="n">
        <x:f>0</x:f>
        <x:v>0</x:v>
      </x:c>
      <x:c r="P66" s="3" t="n">
        <x:f>0</x:f>
        <x:v>0</x:v>
      </x:c>
      <x:c r="Q66" s="3" t="n">
        <x:f>0</x:f>
        <x:v>0</x:v>
      </x:c>
      <x:c r="R66" s="3" t="n">
        <x:f>0</x:f>
        <x:v>0</x:v>
      </x:c>
      <x:c r="S66" s="3" t="n">
        <x:f>0</x:f>
        <x:v>0</x:v>
      </x:c>
      <x:c r="T66" s="52" t="n">
        <x:f>'Pricing'!H36*'Pricing'!$D$43+'Pricing'!H37*'Pricing'!$E$43+'Pricing'!H38*'Pricing'!$F$43</x:f>
        <x:v>41562.896259976034</x:v>
      </x:c>
    </x:row>
    <x:row r="67" ht="25" customHeight="1">
      <x:c r="A67" s="2"/>
      <x:c r="B67" s="2"/>
      <x:c r="C67" s="32"/>
      <x:c r="D67" s="3"/>
      <x:c r="E67" s="3"/>
      <x:c r="F67" s="3"/>
      <x:c r="G67" s="3"/>
      <x:c r="H67" s="3"/>
      <x:c r="I67" s="3"/>
      <x:c r="J67" s="3"/>
      <x:c r="K67" s="3"/>
      <x:c r="L67" s="3"/>
      <x:c r="M67" s="3"/>
      <x:c r="N67" s="3"/>
      <x:c r="O67" s="3"/>
      <x:c r="P67" s="3"/>
      <x:c r="Q67" s="3"/>
      <x:c r="R67" s="3"/>
      <x:c r="S67" s="3"/>
      <x:c r="T67" s="3"/>
    </x:row>
    <x:row r="68" ht="25" customHeight="1">
      <x:c r="A68" s="2"/>
      <x:c r="B68" s="2"/>
      <x:c r="C68" s="32"/>
      <x:c r="D68" s="3"/>
      <x:c r="E68" s="3"/>
      <x:c r="F68" s="3"/>
      <x:c r="G68" s="3"/>
      <x:c r="H68" s="3"/>
      <x:c r="I68" s="3"/>
      <x:c r="J68" s="3"/>
      <x:c r="K68" s="3"/>
      <x:c r="L68" s="3"/>
      <x:c r="M68" s="3"/>
      <x:c r="N68" s="3"/>
      <x:c r="O68" s="3"/>
      <x:c r="P68" s="3"/>
      <x:c r="Q68" s="3"/>
      <x:c r="R68" s="3"/>
      <x:c r="S68" s="3"/>
      <x:c r="T68" s="3"/>
    </x:row>
    <x:row r="69" ht="27" customHeight="1">
      <x:c r="A69" s="2"/>
      <x:c r="B69" s="2"/>
      <x:c r="C69" s="61" t="str">
        <x:v>Recognised revenue by cohort, EUR</x:v>
      </x:c>
      <x:c r="D69" s="15"/>
      <x:c r="E69" s="15"/>
      <x:c r="F69" s="15"/>
      <x:c r="G69" s="15"/>
      <x:c r="H69" s="15"/>
      <x:c r="I69" s="15"/>
      <x:c r="J69" s="15"/>
      <x:c r="K69" s="15"/>
      <x:c r="L69" s="15"/>
      <x:c r="M69" s="15"/>
      <x:c r="N69" s="15"/>
      <x:c r="O69" s="15"/>
      <x:c r="P69" s="15"/>
      <x:c r="Q69" s="15"/>
      <x:c r="R69" s="15"/>
      <x:c r="S69" s="15"/>
      <x:c r="T69" s="15"/>
    </x:row>
    <x:row r="70" ht="25" customHeight="1">
      <x:c r="A70" s="2"/>
      <x:c r="B70" s="2"/>
      <x:c r="C70" s="32" t="str">
        <x:v>Activated Q4:26</x:v>
      </x:c>
      <x:c r="D70" s="3" t="n">
        <x:f>D30*D50/4</x:f>
        <x:v>0</x:v>
      </x:c>
      <x:c r="E70" s="3" t="n">
        <x:f>E30*E50/4</x:f>
        <x:v>0</x:v>
      </x:c>
      <x:c r="F70" s="3" t="n">
        <x:f>F30*F50/4</x:f>
        <x:v>0</x:v>
      </x:c>
      <x:c r="G70" s="3" t="n">
        <x:f>G30*G50/4</x:f>
        <x:v>0</x:v>
      </x:c>
      <x:c r="H70" s="3" t="n">
        <x:f>H30*H50/4</x:f>
        <x:v>0</x:v>
      </x:c>
      <x:c r="I70" s="3" t="n">
        <x:f>I30*I50/4</x:f>
        <x:v>0</x:v>
      </x:c>
      <x:c r="J70" s="3" t="n">
        <x:f>J30*J50/4</x:f>
        <x:v>0</x:v>
      </x:c>
      <x:c r="K70" s="3" t="n">
        <x:f>K30*K50/4</x:f>
        <x:v>0</x:v>
      </x:c>
      <x:c r="L70" s="3" t="n">
        <x:f>L30*L50/4</x:f>
        <x:v>0</x:v>
      </x:c>
      <x:c r="M70" s="3" t="n">
        <x:f>M30*M50/4</x:f>
        <x:v>0</x:v>
      </x:c>
      <x:c r="N70" s="3" t="n">
        <x:f>N30*N50/4</x:f>
        <x:v>0</x:v>
      </x:c>
      <x:c r="O70" s="3" t="n">
        <x:f>O30*O50/4</x:f>
        <x:v>0</x:v>
      </x:c>
      <x:c r="P70" s="3" t="n">
        <x:f>P30*P50/4</x:f>
        <x:v>0</x:v>
      </x:c>
      <x:c r="Q70" s="3" t="n">
        <x:f>Q30*Q50/4</x:f>
        <x:v>0</x:v>
      </x:c>
      <x:c r="R70" s="3" t="n">
        <x:f>R30*R50/4</x:f>
        <x:v>0</x:v>
      </x:c>
      <x:c r="S70" s="3" t="n">
        <x:f>S30*S50/4</x:f>
        <x:v>0</x:v>
      </x:c>
      <x:c r="T70" s="3" t="n">
        <x:f>T30*T50/4</x:f>
        <x:v>0</x:v>
      </x:c>
    </x:row>
    <x:row r="71" ht="25" customHeight="1">
      <x:c r="A71" s="2"/>
      <x:c r="B71" s="2"/>
      <x:c r="C71" s="32" t="str">
        <x:v>Activated Q1:27</x:v>
      </x:c>
      <x:c r="D71" s="3" t="n">
        <x:f>0</x:f>
        <x:v>0</x:v>
      </x:c>
      <x:c r="E71" s="3" t="n">
        <x:f>E31*E51/4</x:f>
        <x:v>20285.159737171565</x:v>
      </x:c>
      <x:c r="F71" s="3" t="n">
        <x:f>F31*F51/4</x:f>
        <x:v>20285.159737171565</x:v>
      </x:c>
      <x:c r="G71" s="3" t="n">
        <x:f>G31*G51/4</x:f>
        <x:v>20285.159737171565</x:v>
      </x:c>
      <x:c r="H71" s="3" t="n">
        <x:f>H31*H51/4</x:f>
        <x:v>20285.159737171565</x:v>
      </x:c>
      <x:c r="I71" s="3" t="n">
        <x:f>I31*I51/4</x:f>
        <x:v>22690.064044995026</x:v>
      </x:c>
      <x:c r="J71" s="3" t="n">
        <x:f>J31*J51/4</x:f>
        <x:v>22690.064044995026</x:v>
      </x:c>
      <x:c r="K71" s="3" t="n">
        <x:f>K31*K51/4</x:f>
        <x:v>22690.064044995026</x:v>
      </x:c>
      <x:c r="L71" s="3" t="n">
        <x:f>L31*L51/4</x:f>
        <x:v>22690.064044995026</x:v>
      </x:c>
      <x:c r="M71" s="3" t="n">
        <x:f>M31*M51/4</x:f>
        <x:v>24137.85624860932</x:v>
      </x:c>
      <x:c r="N71" s="3" t="n">
        <x:f>N31*N51/4</x:f>
        <x:v>24137.85624860932</x:v>
      </x:c>
      <x:c r="O71" s="3" t="n">
        <x:f>O31*O51/4</x:f>
        <x:v>24137.85624860932</x:v>
      </x:c>
      <x:c r="P71" s="3" t="n">
        <x:f>P31*P51/4</x:f>
        <x:v>24137.85624860932</x:v>
      </x:c>
      <x:c r="Q71" s="3" t="n">
        <x:f>Q31*Q51/4</x:f>
        <x:v>24083.05121186857</x:v>
      </x:c>
      <x:c r="R71" s="3" t="n">
        <x:f>R31*R51/4</x:f>
        <x:v>24083.05121186857</x:v>
      </x:c>
      <x:c r="S71" s="3" t="n">
        <x:f>S31*S51/4</x:f>
        <x:v>24083.05121186857</x:v>
      </x:c>
      <x:c r="T71" s="3" t="n">
        <x:f>T31*T51/4</x:f>
        <x:v>24083.05121186857</x:v>
      </x:c>
    </x:row>
    <x:row r="72" ht="25" customHeight="1">
      <x:c r="A72" s="2"/>
      <x:c r="B72" s="2"/>
      <x:c r="C72" s="32" t="str">
        <x:v>Activated Q2:27</x:v>
      </x:c>
      <x:c r="D72" s="3" t="n">
        <x:f>0</x:f>
        <x:v>0</x:v>
      </x:c>
      <x:c r="E72" s="3" t="n">
        <x:f>0</x:f>
        <x:v>0</x:v>
      </x:c>
      <x:c r="F72" s="3" t="n">
        <x:f>F32*F52/4</x:f>
        <x:v>36766.85202362346</x:v>
      </x:c>
      <x:c r="G72" s="3" t="n">
        <x:f>G32*G52/4</x:f>
        <x:v>36766.85202362346</x:v>
      </x:c>
      <x:c r="H72" s="3" t="n">
        <x:f>H32*H52/4</x:f>
        <x:v>36766.85202362346</x:v>
      </x:c>
      <x:c r="I72" s="3" t="n">
        <x:f>I32*I52/4</x:f>
        <x:v>36766.85202362346</x:v>
      </x:c>
      <x:c r="J72" s="3" t="n">
        <x:f>J32*J52/4</x:f>
        <x:v>41125.74108155348</x:v>
      </x:c>
      <x:c r="K72" s="3" t="n">
        <x:f>K32*K52/4</x:f>
        <x:v>41125.74108155348</x:v>
      </x:c>
      <x:c r="L72" s="3" t="n">
        <x:f>L32*L52/4</x:f>
        <x:v>41125.74108155348</x:v>
      </x:c>
      <x:c r="M72" s="3" t="n">
        <x:f>M32*M52/4</x:f>
        <x:v>41125.74108155348</x:v>
      </x:c>
      <x:c r="N72" s="3" t="n">
        <x:f>N32*N52/4</x:f>
        <x:v>43749.8644506044</x:v>
      </x:c>
      <x:c r="O72" s="3" t="n">
        <x:f>O32*O52/4</x:f>
        <x:v>43749.8644506044</x:v>
      </x:c>
      <x:c r="P72" s="3" t="n">
        <x:f>P32*P52/4</x:f>
        <x:v>43749.8644506044</x:v>
      </x:c>
      <x:c r="Q72" s="3" t="n">
        <x:f>Q32*Q52/4</x:f>
        <x:v>43749.8644506044</x:v>
      </x:c>
      <x:c r="R72" s="3" t="n">
        <x:f>R32*R52/4</x:f>
        <x:v>43650.53032151178</x:v>
      </x:c>
      <x:c r="S72" s="3" t="n">
        <x:f>S32*S52/4</x:f>
        <x:v>43650.53032151178</x:v>
      </x:c>
      <x:c r="T72" s="3" t="n">
        <x:f>T32*T52/4</x:f>
        <x:v>43650.53032151178</x:v>
      </x:c>
    </x:row>
    <x:row r="73" ht="25" customHeight="1">
      <x:c r="A73" s="2"/>
      <x:c r="B73" s="2"/>
      <x:c r="C73" s="32" t="str">
        <x:v>Activated Q3:27</x:v>
      </x:c>
      <x:c r="D73" s="3" t="n">
        <x:f>0</x:f>
        <x:v>0</x:v>
      </x:c>
      <x:c r="E73" s="3" t="n">
        <x:f>0</x:f>
        <x:v>0</x:v>
      </x:c>
      <x:c r="F73" s="3" t="n">
        <x:f>0</x:f>
        <x:v>0</x:v>
      </x:c>
      <x:c r="G73" s="3" t="n">
        <x:f>G33*G53/4</x:f>
        <x:v>31695.56208933057</x:v>
      </x:c>
      <x:c r="H73" s="3" t="n">
        <x:f>H33*H53/4</x:f>
        <x:v>31695.56208933057</x:v>
      </x:c>
      <x:c r="I73" s="3" t="n">
        <x:f>I33*I53/4</x:f>
        <x:v>31695.56208933057</x:v>
      </x:c>
      <x:c r="J73" s="3" t="n">
        <x:f>J33*J53/4</x:f>
        <x:v>31695.56208933057</x:v>
      </x:c>
      <x:c r="K73" s="3" t="n">
        <x:f>K33*K53/4</x:f>
        <x:v>35453.225070304725</x:v>
      </x:c>
      <x:c r="L73" s="3" t="n">
        <x:f>L33*L53/4</x:f>
        <x:v>35453.225070304725</x:v>
      </x:c>
      <x:c r="M73" s="3" t="n">
        <x:f>M33*M53/4</x:f>
        <x:v>35453.225070304725</x:v>
      </x:c>
      <x:c r="N73" s="3" t="n">
        <x:f>N33*N53/4</x:f>
        <x:v>35453.225070304725</x:v>
      </x:c>
      <x:c r="O73" s="3" t="n">
        <x:f>O33*O53/4</x:f>
        <x:v>37715.400388452064</x:v>
      </x:c>
      <x:c r="P73" s="3" t="n">
        <x:f>P33*P53/4</x:f>
        <x:v>37715.400388452064</x:v>
      </x:c>
      <x:c r="Q73" s="3" t="n">
        <x:f>Q33*Q53/4</x:f>
        <x:v>37715.400388452064</x:v>
      </x:c>
      <x:c r="R73" s="3" t="n">
        <x:f>R33*R53/4</x:f>
        <x:v>37715.400388452064</x:v>
      </x:c>
      <x:c r="S73" s="3" t="n">
        <x:f>S33*S53/4</x:f>
        <x:v>37629.767518544635</x:v>
      </x:c>
      <x:c r="T73" s="3" t="n">
        <x:f>T33*T53/4</x:f>
        <x:v>37629.767518544635</x:v>
      </x:c>
    </x:row>
    <x:row r="74" ht="25" customHeight="1">
      <x:c r="A74" s="2"/>
      <x:c r="B74" s="2"/>
      <x:c r="C74" s="32" t="str">
        <x:v>Activated Q4:27</x:v>
      </x:c>
      <x:c r="D74" s="3" t="n">
        <x:f>0</x:f>
        <x:v>0</x:v>
      </x:c>
      <x:c r="E74" s="3" t="n">
        <x:f>0</x:f>
        <x:v>0</x:v>
      </x:c>
      <x:c r="F74" s="3" t="n">
        <x:f>0</x:f>
        <x:v>0</x:v>
      </x:c>
      <x:c r="G74" s="3" t="n">
        <x:f>0</x:f>
        <x:v>0</x:v>
      </x:c>
      <x:c r="H74" s="3" t="n">
        <x:f>H34*H54/4</x:f>
        <x:v>38034.67450719669</x:v>
      </x:c>
      <x:c r="I74" s="3" t="n">
        <x:f>I34*I54/4</x:f>
        <x:v>38034.67450719669</x:v>
      </x:c>
      <x:c r="J74" s="3" t="n">
        <x:f>J34*J54/4</x:f>
        <x:v>38034.67450719669</x:v>
      </x:c>
      <x:c r="K74" s="3" t="n">
        <x:f>K34*K54/4</x:f>
        <x:v>38034.67450719669</x:v>
      </x:c>
      <x:c r="L74" s="3" t="n">
        <x:f>L34*L54/4</x:f>
        <x:v>42543.87008436567</x:v>
      </x:c>
      <x:c r="M74" s="3" t="n">
        <x:f>M34*M54/4</x:f>
        <x:v>42543.87008436567</x:v>
      </x:c>
      <x:c r="N74" s="3" t="n">
        <x:f>N34*N54/4</x:f>
        <x:v>42543.87008436567</x:v>
      </x:c>
      <x:c r="O74" s="3" t="n">
        <x:f>O34*O54/4</x:f>
        <x:v>42543.87008436567</x:v>
      </x:c>
      <x:c r="P74" s="3" t="n">
        <x:f>P34*P54/4</x:f>
        <x:v>45258.48046614248</x:v>
      </x:c>
      <x:c r="Q74" s="3" t="n">
        <x:f>Q34*Q54/4</x:f>
        <x:v>45258.48046614248</x:v>
      </x:c>
      <x:c r="R74" s="3" t="n">
        <x:f>R34*R54/4</x:f>
        <x:v>45258.48046614248</x:v>
      </x:c>
      <x:c r="S74" s="3" t="n">
        <x:f>S34*S54/4</x:f>
        <x:v>45258.48046614248</x:v>
      </x:c>
      <x:c r="T74" s="3" t="n">
        <x:f>T34*T54/4</x:f>
        <x:v>45155.721022253565</x:v>
      </x:c>
    </x:row>
    <x:row r="75" ht="25" customHeight="1">
      <x:c r="A75" s="2"/>
      <x:c r="B75" s="2"/>
      <x:c r="C75" s="32" t="str">
        <x:v>Activated Q1:28</x:v>
      </x:c>
      <x:c r="D75" s="3" t="n">
        <x:f>0</x:f>
        <x:v>0</x:v>
      </x:c>
      <x:c r="E75" s="3" t="n">
        <x:f>0</x:f>
        <x:v>0</x:v>
      </x:c>
      <x:c r="F75" s="3" t="n">
        <x:f>0</x:f>
        <x:v>0</x:v>
      </x:c>
      <x:c r="G75" s="3" t="n">
        <x:f>0</x:f>
        <x:v>0</x:v>
      </x:c>
      <x:c r="H75" s="3" t="n">
        <x:f>0</x:f>
        <x:v>0</x:v>
      </x:c>
      <x:c r="I75" s="3" t="n">
        <x:f>I35*I55/4</x:f>
        <x:v>81488.82360466225</x:v>
      </x:c>
      <x:c r="J75" s="3" t="n">
        <x:f>J35*J55/4</x:f>
        <x:v>81488.82360466225</x:v>
      </x:c>
      <x:c r="K75" s="3" t="n">
        <x:f>K35*K55/4</x:f>
        <x:v>81488.82360466225</x:v>
      </x:c>
      <x:c r="L75" s="3" t="n">
        <x:f>L35*L55/4</x:f>
        <x:v>81488.82360466225</x:v>
      </x:c>
      <x:c r="M75" s="3" t="n">
        <x:f>M35*M55/4</x:f>
        <x:v>92905.83176979591</x:v>
      </x:c>
      <x:c r="N75" s="3" t="n">
        <x:f>N35*N55/4</x:f>
        <x:v>92905.83176979591</x:v>
      </x:c>
      <x:c r="O75" s="3" t="n">
        <x:f>O35*O55/4</x:f>
        <x:v>92905.83176979591</x:v>
      </x:c>
      <x:c r="P75" s="3" t="n">
        <x:f>P35*P55/4</x:f>
        <x:v>92905.83176979591</x:v>
      </x:c>
      <x:c r="Q75" s="3" t="n">
        <x:f>Q35*Q55/4</x:f>
        <x:v>98674.34517159316</x:v>
      </x:c>
      <x:c r="R75" s="3" t="n">
        <x:f>R35*R55/4</x:f>
        <x:v>98674.34517159316</x:v>
      </x:c>
      <x:c r="S75" s="3" t="n">
        <x:f>S35*S55/4</x:f>
        <x:v>98674.34517159316</x:v>
      </x:c>
      <x:c r="T75" s="3" t="n">
        <x:f>T35*T55/4</x:f>
        <x:v>98674.34517159316</x:v>
      </x:c>
    </x:row>
    <x:row r="76" ht="25" customHeight="1">
      <x:c r="A76" s="2"/>
      <x:c r="B76" s="2"/>
      <x:c r="C76" s="32" t="str">
        <x:v>Activated Q2:28</x:v>
      </x:c>
      <x:c r="D76" s="3" t="n">
        <x:f>0</x:f>
        <x:v>0</x:v>
      </x:c>
      <x:c r="E76" s="3" t="n">
        <x:f>0</x:f>
        <x:v>0</x:v>
      </x:c>
      <x:c r="F76" s="3" t="n">
        <x:f>0</x:f>
        <x:v>0</x:v>
      </x:c>
      <x:c r="G76" s="3" t="n">
        <x:f>0</x:f>
        <x:v>0</x:v>
      </x:c>
      <x:c r="H76" s="3" t="n">
        <x:f>0</x:f>
        <x:v>0</x:v>
      </x:c>
      <x:c r="I76" s="3" t="n">
        <x:f>0</x:f>
        <x:v>0</x:v>
      </x:c>
      <x:c r="J76" s="3" t="n">
        <x:f>J36*J56/4</x:f>
        <x:v>120963.15380173331</x:v>
      </x:c>
      <x:c r="K76" s="3" t="n">
        <x:f>K36*K56/4</x:f>
        <x:v>120963.15380173331</x:v>
      </x:c>
      <x:c r="L76" s="3" t="n">
        <x:f>L36*L56/4</x:f>
        <x:v>120963.15380173331</x:v>
      </x:c>
      <x:c r="M76" s="3" t="n">
        <x:f>M36*M56/4</x:f>
        <x:v>120963.15380173331</x:v>
      </x:c>
      <x:c r="N76" s="3" t="n">
        <x:f>N36*N56/4</x:f>
        <x:v>137910.72100843056</x:v>
      </x:c>
      <x:c r="O76" s="3" t="n">
        <x:f>O36*O56/4</x:f>
        <x:v>137910.72100843056</x:v>
      </x:c>
      <x:c r="P76" s="3" t="n">
        <x:f>P36*P56/4</x:f>
        <x:v>137910.72100843056</x:v>
      </x:c>
      <x:c r="Q76" s="3" t="n">
        <x:f>Q36*Q56/4</x:f>
        <x:v>137910.72100843056</x:v>
      </x:c>
      <x:c r="R76" s="3" t="n">
        <x:f>R36*R56/4</x:f>
        <x:v>146473.58328773137</x:v>
      </x:c>
      <x:c r="S76" s="3" t="n">
        <x:f>S36*S56/4</x:f>
        <x:v>146473.58328773137</x:v>
      </x:c>
      <x:c r="T76" s="3" t="n">
        <x:f>T36*T56/4</x:f>
        <x:v>146473.58328773137</x:v>
      </x:c>
    </x:row>
    <x:row r="77" ht="25" customHeight="1">
      <x:c r="A77" s="2"/>
      <x:c r="B77" s="2"/>
      <x:c r="C77" s="32" t="str">
        <x:v>Activated Q3:28</x:v>
      </x:c>
      <x:c r="D77" s="3" t="n">
        <x:f>0</x:f>
        <x:v>0</x:v>
      </x:c>
      <x:c r="E77" s="3" t="n">
        <x:f>0</x:f>
        <x:v>0</x:v>
      </x:c>
      <x:c r="F77" s="3" t="n">
        <x:f>0</x:f>
        <x:v>0</x:v>
      </x:c>
      <x:c r="G77" s="3" t="n">
        <x:f>0</x:f>
        <x:v>0</x:v>
      </x:c>
      <x:c r="H77" s="3" t="n">
        <x:f>0</x:f>
        <x:v>0</x:v>
      </x:c>
      <x:c r="I77" s="3" t="n">
        <x:f>0</x:f>
        <x:v>0</x:v>
      </x:c>
      <x:c r="J77" s="3" t="n">
        <x:f>0</x:f>
        <x:v>0</x:v>
      </x:c>
      <x:c r="K77" s="3" t="n">
        <x:f>K37*K57/4</x:f>
        <x:v>148652.87185228837</x:v>
      </x:c>
      <x:c r="L77" s="3" t="n">
        <x:f>L37*L57/4</x:f>
        <x:v>148652.87185228837</x:v>
      </x:c>
      <x:c r="M77" s="3" t="n">
        <x:f>M37*M57/4</x:f>
        <x:v>148652.87185228837</x:v>
      </x:c>
      <x:c r="N77" s="3" t="n">
        <x:f>N37*N57/4</x:f>
        <x:v>148652.87185228837</x:v>
      </x:c>
      <x:c r="O77" s="3" t="n">
        <x:f>O37*O57/4</x:f>
        <x:v>169479.91262467531</x:v>
      </x:c>
      <x:c r="P77" s="3" t="n">
        <x:f>P37*P57/4</x:f>
        <x:v>169479.91262467531</x:v>
      </x:c>
      <x:c r="Q77" s="3" t="n">
        <x:f>Q37*Q57/4</x:f>
        <x:v>169479.91262467531</x:v>
      </x:c>
      <x:c r="R77" s="3" t="n">
        <x:f>R37*R57/4</x:f>
        <x:v>169479.91262467531</x:v>
      </x:c>
      <x:c r="S77" s="3" t="n">
        <x:f>S37*S57/4</x:f>
        <x:v>180002.90271784086</x:v>
      </x:c>
      <x:c r="T77" s="3" t="n">
        <x:f>T37*T57/4</x:f>
        <x:v>180002.90271784086</x:v>
      </x:c>
    </x:row>
    <x:row r="78" ht="25" customHeight="1">
      <x:c r="A78" s="2"/>
      <x:c r="B78" s="2"/>
      <x:c r="C78" s="32" t="str">
        <x:v>Activated Q4:28</x:v>
      </x:c>
      <x:c r="D78" s="3" t="n">
        <x:f>0</x:f>
        <x:v>0</x:v>
      </x:c>
      <x:c r="E78" s="3" t="n">
        <x:f>0</x:f>
        <x:v>0</x:v>
      </x:c>
      <x:c r="F78" s="3" t="n">
        <x:f>0</x:f>
        <x:v>0</x:v>
      </x:c>
      <x:c r="G78" s="3" t="n">
        <x:f>0</x:f>
        <x:v>0</x:v>
      </x:c>
      <x:c r="H78" s="3" t="n">
        <x:f>0</x:f>
        <x:v>0</x:v>
      </x:c>
      <x:c r="I78" s="3" t="n">
        <x:f>0</x:f>
        <x:v>0</x:v>
      </x:c>
      <x:c r="J78" s="3" t="n">
        <x:f>0</x:f>
        <x:v>0</x:v>
      </x:c>
      <x:c r="K78" s="3" t="n">
        <x:f>0</x:f>
        <x:v>0</x:v>
      </x:c>
      <x:c r="L78" s="3" t="n">
        <x:f>L38*L58/4</x:f>
        <x:v>226733.80473749328</x:v>
      </x:c>
      <x:c r="M78" s="3" t="n">
        <x:f>M38*M58/4</x:f>
        <x:v>226733.80473749328</x:v>
      </x:c>
      <x:c r="N78" s="3" t="n">
        <x:f>N38*N58/4</x:f>
        <x:v>226733.80473749328</x:v>
      </x:c>
      <x:c r="O78" s="3" t="n">
        <x:f>O38*O58/4</x:f>
        <x:v>226733.80473749328</x:v>
      </x:c>
      <x:c r="P78" s="3" t="n">
        <x:f>P38*P58/4</x:f>
        <x:v>258500.39045430662</x:v>
      </x:c>
      <x:c r="Q78" s="3" t="n">
        <x:f>Q38*Q58/4</x:f>
        <x:v>258500.39045430662</x:v>
      </x:c>
      <x:c r="R78" s="3" t="n">
        <x:f>R38*R58/4</x:f>
        <x:v>258500.39045430662</x:v>
      </x:c>
      <x:c r="S78" s="3" t="n">
        <x:f>S38*S58/4</x:f>
        <x:v>258500.39045430662</x:v>
      </x:c>
      <x:c r="T78" s="3" t="n">
        <x:f>T38*T58/4</x:f>
        <x:v>274550.65272848035</x:v>
      </x:c>
    </x:row>
    <x:row r="79" ht="25" customHeight="1">
      <x:c r="A79" s="2"/>
      <x:c r="B79" s="2"/>
      <x:c r="C79" s="32" t="str">
        <x:v>Activated Q1:29</x:v>
      </x:c>
      <x:c r="D79" s="3" t="n">
        <x:f>0</x:f>
        <x:v>0</x:v>
      </x:c>
      <x:c r="E79" s="3" t="n">
        <x:f>0</x:f>
        <x:v>0</x:v>
      </x:c>
      <x:c r="F79" s="3" t="n">
        <x:f>0</x:f>
        <x:v>0</x:v>
      </x:c>
      <x:c r="G79" s="3" t="n">
        <x:f>0</x:f>
        <x:v>0</x:v>
      </x:c>
      <x:c r="H79" s="3" t="n">
        <x:f>0</x:f>
        <x:v>0</x:v>
      </x:c>
      <x:c r="I79" s="3" t="n">
        <x:f>0</x:f>
        <x:v>0</x:v>
      </x:c>
      <x:c r="J79" s="3" t="n">
        <x:f>0</x:f>
        <x:v>0</x:v>
      </x:c>
      <x:c r="K79" s="3" t="n">
        <x:f>0</x:f>
        <x:v>0</x:v>
      </x:c>
      <x:c r="L79" s="3" t="n">
        <x:f>0</x:f>
        <x:v>0</x:v>
      </x:c>
      <x:c r="M79" s="3" t="n">
        <x:f>M39*M59/4</x:f>
        <x:v>395513.5380587183</x:v>
      </x:c>
      <x:c r="N79" s="3" t="n">
        <x:f>N39*N59/4</x:f>
        <x:v>395513.5380587183</x:v>
      </x:c>
      <x:c r="O79" s="3" t="n">
        <x:f>O39*O59/4</x:f>
        <x:v>395513.5380587183</x:v>
      </x:c>
      <x:c r="P79" s="3" t="n">
        <x:f>P39*P59/4</x:f>
        <x:v>395513.5380587183</x:v>
      </x:c>
      <x:c r="Q79" s="3" t="n">
        <x:f>Q39*Q59/4</x:f>
        <x:v>450534.0195891498</x:v>
      </x:c>
      <x:c r="R79" s="3" t="n">
        <x:f>R39*R59/4</x:f>
        <x:v>450534.0195891498</x:v>
      </x:c>
      <x:c r="S79" s="3" t="n">
        <x:f>S39*S59/4</x:f>
        <x:v>450534.0195891498</x:v>
      </x:c>
      <x:c r="T79" s="3" t="n">
        <x:f>T39*T59/4</x:f>
        <x:v>450534.0195891498</x:v>
      </x:c>
    </x:row>
    <x:row r="80" ht="25" customHeight="1">
      <x:c r="A80" s="2"/>
      <x:c r="B80" s="2"/>
      <x:c r="C80" s="32" t="str">
        <x:v>Activated Q2:29</x:v>
      </x:c>
      <x:c r="D80" s="3" t="n">
        <x:f>0</x:f>
        <x:v>0</x:v>
      </x:c>
      <x:c r="E80" s="3" t="n">
        <x:f>0</x:f>
        <x:v>0</x:v>
      </x:c>
      <x:c r="F80" s="3" t="n">
        <x:f>0</x:f>
        <x:v>0</x:v>
      </x:c>
      <x:c r="G80" s="3" t="n">
        <x:f>0</x:f>
        <x:v>0</x:v>
      </x:c>
      <x:c r="H80" s="3" t="n">
        <x:f>0</x:f>
        <x:v>0</x:v>
      </x:c>
      <x:c r="I80" s="3" t="n">
        <x:f>0</x:f>
        <x:v>0</x:v>
      </x:c>
      <x:c r="J80" s="3" t="n">
        <x:f>0</x:f>
        <x:v>0</x:v>
      </x:c>
      <x:c r="K80" s="3" t="n">
        <x:f>0</x:f>
        <x:v>0</x:v>
      </x:c>
      <x:c r="L80" s="3" t="n">
        <x:f>0</x:f>
        <x:v>0</x:v>
      </x:c>
      <x:c r="M80" s="3" t="n">
        <x:f>0</x:f>
        <x:v>0</x:v>
      </x:c>
      <x:c r="N80" s="3" t="n">
        <x:f>N40*N60/4</x:f>
        <x:v>656952.1341406202</x:v>
      </x:c>
      <x:c r="O80" s="3" t="n">
        <x:f>O40*O60/4</x:f>
        <x:v>656952.1341406202</x:v>
      </x:c>
      <x:c r="P80" s="3" t="n">
        <x:f>P40*P60/4</x:f>
        <x:v>656952.1341406202</x:v>
      </x:c>
      <x:c r="Q80" s="3" t="n">
        <x:f>Q40*Q60/4</x:f>
        <x:v>656952.1341406202</x:v>
      </x:c>
      <x:c r="R80" s="3" t="n">
        <x:f>R40*R60/4</x:f>
        <x:v>748341.7309171921</x:v>
      </x:c>
      <x:c r="S80" s="3" t="n">
        <x:f>S40*S60/4</x:f>
        <x:v>748341.7309171921</x:v>
      </x:c>
      <x:c r="T80" s="3" t="n">
        <x:f>T40*T60/4</x:f>
        <x:v>748341.7309171921</x:v>
      </x:c>
    </x:row>
    <x:row r="81" ht="25" customHeight="1">
      <x:c r="A81" s="2"/>
      <x:c r="B81" s="2"/>
      <x:c r="C81" s="32" t="str">
        <x:v>Activated Q3:29</x:v>
      </x:c>
      <x:c r="D81" s="3" t="n">
        <x:f>0</x:f>
        <x:v>0</x:v>
      </x:c>
      <x:c r="E81" s="3" t="n">
        <x:f>0</x:f>
        <x:v>0</x:v>
      </x:c>
      <x:c r="F81" s="3" t="n">
        <x:f>0</x:f>
        <x:v>0</x:v>
      </x:c>
      <x:c r="G81" s="3" t="n">
        <x:f>0</x:f>
        <x:v>0</x:v>
      </x:c>
      <x:c r="H81" s="3" t="n">
        <x:f>0</x:f>
        <x:v>0</x:v>
      </x:c>
      <x:c r="I81" s="3" t="n">
        <x:f>0</x:f>
        <x:v>0</x:v>
      </x:c>
      <x:c r="J81" s="3" t="n">
        <x:f>0</x:f>
        <x:v>0</x:v>
      </x:c>
      <x:c r="K81" s="3" t="n">
        <x:f>0</x:f>
        <x:v>0</x:v>
      </x:c>
      <x:c r="L81" s="3" t="n">
        <x:f>0</x:f>
        <x:v>0</x:v>
      </x:c>
      <x:c r="M81" s="3" t="n">
        <x:f>0</x:f>
        <x:v>0</x:v>
      </x:c>
      <x:c r="N81" s="3" t="n">
        <x:f>0</x:f>
        <x:v>0</x:v>
      </x:c>
      <x:c r="O81" s="3" t="n">
        <x:f>O41*O61/4</x:f>
        <x:v>798460.1236800272</x:v>
      </x:c>
      <x:c r="P81" s="3" t="n">
        <x:f>P41*P61/4</x:f>
        <x:v>798460.1236800272</x:v>
      </x:c>
      <x:c r="Q81" s="3" t="n">
        <x:f>Q41*Q61/4</x:f>
        <x:v>798460.1236800272</x:v>
      </x:c>
      <x:c r="R81" s="3" t="n">
        <x:f>R41*R61/4</x:f>
        <x:v>798460.1236800272</x:v>
      </x:c>
      <x:c r="S81" s="3" t="n">
        <x:f>S41*S61/4</x:f>
        <x:v>909535.1091365322</x:v>
      </x:c>
      <x:c r="T81" s="3" t="n">
        <x:f>T41*T61/4</x:f>
        <x:v>909535.1091365322</x:v>
      </x:c>
    </x:row>
    <x:row r="82" ht="25" customHeight="1">
      <x:c r="A82" s="2"/>
      <x:c r="B82" s="2"/>
      <x:c r="C82" s="32" t="str">
        <x:v>Activated Q4:29</x:v>
      </x:c>
      <x:c r="D82" s="3" t="n">
        <x:f>0</x:f>
        <x:v>0</x:v>
      </x:c>
      <x:c r="E82" s="3" t="n">
        <x:f>0</x:f>
        <x:v>0</x:v>
      </x:c>
      <x:c r="F82" s="3" t="n">
        <x:f>0</x:f>
        <x:v>0</x:v>
      </x:c>
      <x:c r="G82" s="3" t="n">
        <x:f>0</x:f>
        <x:v>0</x:v>
      </x:c>
      <x:c r="H82" s="3" t="n">
        <x:f>0</x:f>
        <x:v>0</x:v>
      </x:c>
      <x:c r="I82" s="3" t="n">
        <x:f>0</x:f>
        <x:v>0</x:v>
      </x:c>
      <x:c r="J82" s="3" t="n">
        <x:f>0</x:f>
        <x:v>0</x:v>
      </x:c>
      <x:c r="K82" s="3" t="n">
        <x:f>0</x:f>
        <x:v>0</x:v>
      </x:c>
      <x:c r="L82" s="3" t="n">
        <x:f>0</x:f>
        <x:v>0</x:v>
      </x:c>
      <x:c r="M82" s="3" t="n">
        <x:f>0</x:f>
        <x:v>0</x:v>
      </x:c>
      <x:c r="N82" s="3" t="n">
        <x:f>0</x:f>
        <x:v>0</x:v>
      </x:c>
      <x:c r="O82" s="3" t="n">
        <x:f>0</x:f>
        <x:v>0</x:v>
      </x:c>
      <x:c r="P82" s="3" t="n">
        <x:f>P42*P62/4</x:f>
        <x:v>1099056.8761242728</x:v>
      </x:c>
      <x:c r="Q82" s="3" t="n">
        <x:f>Q42*Q62/4</x:f>
        <x:v>1099056.8761242728</x:v>
      </x:c>
      <x:c r="R82" s="3" t="n">
        <x:f>R42*R62/4</x:f>
        <x:v>1099056.8761242728</x:v>
      </x:c>
      <x:c r="S82" s="3" t="n">
        <x:f>S42*S62/4</x:f>
        <x:v>1099056.8761242728</x:v>
      </x:c>
      <x:c r="T82" s="3" t="n">
        <x:f>T42*T62/4</x:f>
        <x:v>1251948.326693815</x:v>
      </x:c>
    </x:row>
    <x:row r="83" ht="25" customHeight="1">
      <x:c r="A83" s="2"/>
      <x:c r="B83" s="2"/>
      <x:c r="C83" s="32" t="str">
        <x:v>Activated Q1:30</x:v>
      </x:c>
      <x:c r="D83" s="3" t="n">
        <x:f>0</x:f>
        <x:v>0</x:v>
      </x:c>
      <x:c r="E83" s="3" t="n">
        <x:f>0</x:f>
        <x:v>0</x:v>
      </x:c>
      <x:c r="F83" s="3" t="n">
        <x:f>0</x:f>
        <x:v>0</x:v>
      </x:c>
      <x:c r="G83" s="3" t="n">
        <x:f>0</x:f>
        <x:v>0</x:v>
      </x:c>
      <x:c r="H83" s="3" t="n">
        <x:f>0</x:f>
        <x:v>0</x:v>
      </x:c>
      <x:c r="I83" s="3" t="n">
        <x:f>0</x:f>
        <x:v>0</x:v>
      </x:c>
      <x:c r="J83" s="3" t="n">
        <x:f>0</x:f>
        <x:v>0</x:v>
      </x:c>
      <x:c r="K83" s="3" t="n">
        <x:f>0</x:f>
        <x:v>0</x:v>
      </x:c>
      <x:c r="L83" s="3" t="n">
        <x:f>0</x:f>
        <x:v>0</x:v>
      </x:c>
      <x:c r="M83" s="3" t="n">
        <x:f>0</x:f>
        <x:v>0</x:v>
      </x:c>
      <x:c r="N83" s="3" t="n">
        <x:f>0</x:f>
        <x:v>0</x:v>
      </x:c>
      <x:c r="O83" s="3" t="n">
        <x:f>0</x:f>
        <x:v>0</x:v>
      </x:c>
      <x:c r="P83" s="3" t="n">
        <x:f>0</x:f>
        <x:v>0</x:v>
      </x:c>
      <x:c r="Q83" s="3" t="n">
        <x:f>Q43*Q63/4</x:f>
        <x:v>1733900.1247255502</x:v>
      </x:c>
      <x:c r="R83" s="3" t="n">
        <x:f>R43*R63/4</x:f>
        <x:v>1733900.1247255502</x:v>
      </x:c>
      <x:c r="S83" s="3" t="n">
        <x:f>S43*S63/4</x:f>
        <x:v>1733900.1247255502</x:v>
      </x:c>
      <x:c r="T83" s="3" t="n">
        <x:f>T43*T63/4</x:f>
        <x:v>1733900.1247255502</x:v>
      </x:c>
    </x:row>
    <x:row r="84" ht="25" customHeight="1">
      <x:c r="A84" s="2"/>
      <x:c r="B84" s="2"/>
      <x:c r="C84" s="32" t="str">
        <x:v>Activated Q2:30</x:v>
      </x:c>
      <x:c r="D84" s="3" t="n">
        <x:f>0</x:f>
        <x:v>0</x:v>
      </x:c>
      <x:c r="E84" s="3" t="n">
        <x:f>0</x:f>
        <x:v>0</x:v>
      </x:c>
      <x:c r="F84" s="3" t="n">
        <x:f>0</x:f>
        <x:v>0</x:v>
      </x:c>
      <x:c r="G84" s="3" t="n">
        <x:f>0</x:f>
        <x:v>0</x:v>
      </x:c>
      <x:c r="H84" s="3" t="n">
        <x:f>0</x:f>
        <x:v>0</x:v>
      </x:c>
      <x:c r="I84" s="3" t="n">
        <x:f>0</x:f>
        <x:v>0</x:v>
      </x:c>
      <x:c r="J84" s="3" t="n">
        <x:f>0</x:f>
        <x:v>0</x:v>
      </x:c>
      <x:c r="K84" s="3" t="n">
        <x:f>0</x:f>
        <x:v>0</x:v>
      </x:c>
      <x:c r="L84" s="3" t="n">
        <x:f>0</x:f>
        <x:v>0</x:v>
      </x:c>
      <x:c r="M84" s="3" t="n">
        <x:f>0</x:f>
        <x:v>0</x:v>
      </x:c>
      <x:c r="N84" s="3" t="n">
        <x:f>0</x:f>
        <x:v>0</x:v>
      </x:c>
      <x:c r="O84" s="3" t="n">
        <x:f>0</x:f>
        <x:v>0</x:v>
      </x:c>
      <x:c r="P84" s="3" t="n">
        <x:f>0</x:f>
        <x:v>0</x:v>
      </x:c>
      <x:c r="Q84" s="3" t="n">
        <x:f>0</x:f>
        <x:v>0</x:v>
      </x:c>
      <x:c r="R84" s="3" t="n">
        <x:f>R44*R64/4</x:f>
        <x:v>2466744.9046244966</x:v>
      </x:c>
      <x:c r="S84" s="3" t="n">
        <x:f>S44*S64/4</x:f>
        <x:v>2466744.9046244966</x:v>
      </x:c>
      <x:c r="T84" s="3" t="n">
        <x:f>T44*T64/4</x:f>
        <x:v>2466744.9046244966</x:v>
      </x:c>
    </x:row>
    <x:row r="85" ht="25" customHeight="1">
      <x:c r="A85" s="2"/>
      <x:c r="B85" s="2"/>
      <x:c r="C85" s="32" t="str">
        <x:v>Activated Q3:30</x:v>
      </x:c>
      <x:c r="D85" s="3" t="n">
        <x:f>0</x:f>
        <x:v>0</x:v>
      </x:c>
      <x:c r="E85" s="3" t="n">
        <x:f>0</x:f>
        <x:v>0</x:v>
      </x:c>
      <x:c r="F85" s="3" t="n">
        <x:f>0</x:f>
        <x:v>0</x:v>
      </x:c>
      <x:c r="G85" s="3" t="n">
        <x:f>0</x:f>
        <x:v>0</x:v>
      </x:c>
      <x:c r="H85" s="3" t="n">
        <x:f>0</x:f>
        <x:v>0</x:v>
      </x:c>
      <x:c r="I85" s="3" t="n">
        <x:f>0</x:f>
        <x:v>0</x:v>
      </x:c>
      <x:c r="J85" s="3" t="n">
        <x:f>0</x:f>
        <x:v>0</x:v>
      </x:c>
      <x:c r="K85" s="3" t="n">
        <x:f>0</x:f>
        <x:v>0</x:v>
      </x:c>
      <x:c r="L85" s="3" t="n">
        <x:f>0</x:f>
        <x:v>0</x:v>
      </x:c>
      <x:c r="M85" s="3" t="n">
        <x:f>0</x:f>
        <x:v>0</x:v>
      </x:c>
      <x:c r="N85" s="3" t="n">
        <x:f>0</x:f>
        <x:v>0</x:v>
      </x:c>
      <x:c r="O85" s="3" t="n">
        <x:f>0</x:f>
        <x:v>0</x:v>
      </x:c>
      <x:c r="P85" s="3" t="n">
        <x:f>0</x:f>
        <x:v>0</x:v>
      </x:c>
      <x:c r="Q85" s="3" t="n">
        <x:f>0</x:f>
        <x:v>0</x:v>
      </x:c>
      <x:c r="R85" s="3" t="n">
        <x:f>0</x:f>
        <x:v>0</x:v>
      </x:c>
      <x:c r="S85" s="3" t="n">
        <x:f>S45*S65/4</x:f>
        <x:v>2773970.690155443</x:v>
      </x:c>
      <x:c r="T85" s="3" t="n">
        <x:f>T45*T65/4</x:f>
        <x:v>2773970.690155443</x:v>
      </x:c>
    </x:row>
    <x:row r="86" ht="25" customHeight="1">
      <x:c r="A86" s="2"/>
      <x:c r="B86" s="2"/>
      <x:c r="C86" s="32" t="str">
        <x:v>Activated Q4:30</x:v>
      </x:c>
      <x:c r="D86" s="3" t="n">
        <x:f>0</x:f>
        <x:v>0</x:v>
      </x:c>
      <x:c r="E86" s="3" t="n">
        <x:f>0</x:f>
        <x:v>0</x:v>
      </x:c>
      <x:c r="F86" s="3" t="n">
        <x:f>0</x:f>
        <x:v>0</x:v>
      </x:c>
      <x:c r="G86" s="3" t="n">
        <x:f>0</x:f>
        <x:v>0</x:v>
      </x:c>
      <x:c r="H86" s="3" t="n">
        <x:f>0</x:f>
        <x:v>0</x:v>
      </x:c>
      <x:c r="I86" s="3" t="n">
        <x:f>0</x:f>
        <x:v>0</x:v>
      </x:c>
      <x:c r="J86" s="3" t="n">
        <x:f>0</x:f>
        <x:v>0</x:v>
      </x:c>
      <x:c r="K86" s="3" t="n">
        <x:f>0</x:f>
        <x:v>0</x:v>
      </x:c>
      <x:c r="L86" s="3" t="n">
        <x:f>0</x:f>
        <x:v>0</x:v>
      </x:c>
      <x:c r="M86" s="3" t="n">
        <x:f>0</x:f>
        <x:v>0</x:v>
      </x:c>
      <x:c r="N86" s="3" t="n">
        <x:f>0</x:f>
        <x:v>0</x:v>
      </x:c>
      <x:c r="O86" s="3" t="n">
        <x:f>0</x:f>
        <x:v>0</x:v>
      </x:c>
      <x:c r="P86" s="3" t="n">
        <x:f>0</x:f>
        <x:v>0</x:v>
      </x:c>
      <x:c r="Q86" s="3" t="n">
        <x:f>0</x:f>
        <x:v>0</x:v>
      </x:c>
      <x:c r="R86" s="3" t="n">
        <x:f>0</x:f>
        <x:v>0</x:v>
      </x:c>
      <x:c r="S86" s="3" t="n">
        <x:f>0</x:f>
        <x:v>0</x:v>
      </x:c>
      <x:c r="T86" s="3" t="n">
        <x:f>T46*T66/4</x:f>
        <x:v>2324871.9065018306</x:v>
      </x:c>
    </x:row>
    <x:row r="87" ht="25" customHeight="1">
      <x:c r="A87" s="2"/>
      <x:c r="B87" s="2"/>
      <x:c r="C87" s="32"/>
      <x:c r="D87" s="3"/>
      <x:c r="E87" s="3"/>
      <x:c r="F87" s="3"/>
      <x:c r="G87" s="3"/>
      <x:c r="H87" s="3"/>
      <x:c r="I87" s="3"/>
      <x:c r="J87" s="3"/>
      <x:c r="K87" s="3"/>
      <x:c r="L87" s="3"/>
      <x:c r="M87" s="3"/>
      <x:c r="N87" s="3"/>
      <x:c r="O87" s="3"/>
      <x:c r="P87" s="3"/>
      <x:c r="Q87" s="3"/>
      <x:c r="R87" s="3"/>
      <x:c r="S87" s="3"/>
      <x:c r="T87" s="3"/>
    </x:row>
    <x:row r="88" ht="25" customHeight="1">
      <x:c r="A88" s="2"/>
      <x:c r="B88" s="2"/>
      <x:c r="C88" s="32"/>
      <x:c r="D88" s="3"/>
      <x:c r="E88" s="3"/>
      <x:c r="F88" s="3"/>
      <x:c r="G88" s="3"/>
      <x:c r="H88" s="3"/>
      <x:c r="I88" s="3"/>
      <x:c r="J88" s="3"/>
      <x:c r="K88" s="3"/>
      <x:c r="L88" s="3"/>
      <x:c r="M88" s="3"/>
      <x:c r="N88" s="3"/>
      <x:c r="O88" s="3"/>
      <x:c r="P88" s="3"/>
      <x:c r="Q88" s="3"/>
      <x:c r="R88" s="3"/>
      <x:c r="S88" s="3"/>
      <x:c r="T88" s="3"/>
    </x:row>
    <x:row r="89" ht="27" customHeight="1">
      <x:c r="A89" s="2"/>
      <x:c r="B89" s="2"/>
      <x:c r="C89" s="61" t="str">
        <x:v>Annual billings by cohort, EUR</x:v>
      </x:c>
      <x:c r="D89" s="15"/>
      <x:c r="E89" s="15"/>
      <x:c r="F89" s="15"/>
      <x:c r="G89" s="15"/>
      <x:c r="H89" s="15"/>
      <x:c r="I89" s="15"/>
      <x:c r="J89" s="15"/>
      <x:c r="K89" s="15"/>
      <x:c r="L89" s="15"/>
      <x:c r="M89" s="15"/>
      <x:c r="N89" s="15"/>
      <x:c r="O89" s="15"/>
      <x:c r="P89" s="15"/>
      <x:c r="Q89" s="15"/>
      <x:c r="R89" s="15"/>
      <x:c r="S89" s="15"/>
      <x:c r="T89" s="15"/>
    </x:row>
    <x:row r="90" ht="25" customHeight="1">
      <x:c r="A90" s="2"/>
      <x:c r="B90" s="2"/>
      <x:c r="C90" s="32" t="str">
        <x:v>Activated Q4:26</x:v>
      </x:c>
      <x:c r="D90" s="3" t="n">
        <x:f>D30*D50</x:f>
        <x:v>0</x:v>
      </x:c>
      <x:c r="E90" s="3" t="n">
        <x:f>0</x:f>
        <x:v>0</x:v>
      </x:c>
      <x:c r="F90" s="3" t="n">
        <x:f>0</x:f>
        <x:v>0</x:v>
      </x:c>
      <x:c r="G90" s="3" t="n">
        <x:f>0</x:f>
        <x:v>0</x:v>
      </x:c>
      <x:c r="H90" s="3" t="n">
        <x:f>H30*H50</x:f>
        <x:v>0</x:v>
      </x:c>
      <x:c r="I90" s="3" t="n">
        <x:f>0</x:f>
        <x:v>0</x:v>
      </x:c>
      <x:c r="J90" s="3" t="n">
        <x:f>0</x:f>
        <x:v>0</x:v>
      </x:c>
      <x:c r="K90" s="3" t="n">
        <x:f>0</x:f>
        <x:v>0</x:v>
      </x:c>
      <x:c r="L90" s="3" t="n">
        <x:f>L30*L50</x:f>
        <x:v>0</x:v>
      </x:c>
      <x:c r="M90" s="3" t="n">
        <x:f>0</x:f>
        <x:v>0</x:v>
      </x:c>
      <x:c r="N90" s="3" t="n">
        <x:f>0</x:f>
        <x:v>0</x:v>
      </x:c>
      <x:c r="O90" s="3" t="n">
        <x:f>0</x:f>
        <x:v>0</x:v>
      </x:c>
      <x:c r="P90" s="3" t="n">
        <x:f>P30*P50</x:f>
        <x:v>0</x:v>
      </x:c>
      <x:c r="Q90" s="3" t="n">
        <x:f>0</x:f>
        <x:v>0</x:v>
      </x:c>
      <x:c r="R90" s="3" t="n">
        <x:f>0</x:f>
        <x:v>0</x:v>
      </x:c>
      <x:c r="S90" s="3" t="n">
        <x:f>0</x:f>
        <x:v>0</x:v>
      </x:c>
      <x:c r="T90" s="3" t="n">
        <x:f>T30*T50</x:f>
        <x:v>0</x:v>
      </x:c>
    </x:row>
    <x:row r="91" ht="25" customHeight="1">
      <x:c r="A91" s="2"/>
      <x:c r="B91" s="2"/>
      <x:c r="C91" s="32" t="str">
        <x:v>Activated Q1:27</x:v>
      </x:c>
      <x:c r="D91" s="3" t="n">
        <x:f>0</x:f>
        <x:v>0</x:v>
      </x:c>
      <x:c r="E91" s="3" t="n">
        <x:f>E31*E51</x:f>
        <x:v>81140.63894868626</x:v>
      </x:c>
      <x:c r="F91" s="3" t="n">
        <x:f>0</x:f>
        <x:v>0</x:v>
      </x:c>
      <x:c r="G91" s="3" t="n">
        <x:f>0</x:f>
        <x:v>0</x:v>
      </x:c>
      <x:c r="H91" s="3" t="n">
        <x:f>0</x:f>
        <x:v>0</x:v>
      </x:c>
      <x:c r="I91" s="3" t="n">
        <x:f>I31*I51</x:f>
        <x:v>90760.2561799801</x:v>
      </x:c>
      <x:c r="J91" s="3" t="n">
        <x:f>0</x:f>
        <x:v>0</x:v>
      </x:c>
      <x:c r="K91" s="3" t="n">
        <x:f>0</x:f>
        <x:v>0</x:v>
      </x:c>
      <x:c r="L91" s="3" t="n">
        <x:f>0</x:f>
        <x:v>0</x:v>
      </x:c>
      <x:c r="M91" s="3" t="n">
        <x:f>M31*M51</x:f>
        <x:v>96551.42499443729</x:v>
      </x:c>
      <x:c r="N91" s="3" t="n">
        <x:f>0</x:f>
        <x:v>0</x:v>
      </x:c>
      <x:c r="O91" s="3" t="n">
        <x:f>0</x:f>
        <x:v>0</x:v>
      </x:c>
      <x:c r="P91" s="3" t="n">
        <x:f>0</x:f>
        <x:v>0</x:v>
      </x:c>
      <x:c r="Q91" s="3" t="n">
        <x:f>Q31*Q51</x:f>
        <x:v>96332.20484747428</x:v>
      </x:c>
      <x:c r="R91" s="3" t="n">
        <x:f>0</x:f>
        <x:v>0</x:v>
      </x:c>
      <x:c r="S91" s="3" t="n">
        <x:f>0</x:f>
        <x:v>0</x:v>
      </x:c>
      <x:c r="T91" s="3" t="n">
        <x:f>0</x:f>
        <x:v>0</x:v>
      </x:c>
    </x:row>
    <x:row r="92" ht="25" customHeight="1">
      <x:c r="A92" s="2"/>
      <x:c r="B92" s="2"/>
      <x:c r="C92" s="32" t="str">
        <x:v>Activated Q2:27</x:v>
      </x:c>
      <x:c r="D92" s="3" t="n">
        <x:f>0</x:f>
        <x:v>0</x:v>
      </x:c>
      <x:c r="E92" s="3" t="n">
        <x:f>0</x:f>
        <x:v>0</x:v>
      </x:c>
      <x:c r="F92" s="3" t="n">
        <x:f>F32*F52</x:f>
        <x:v>147067.40809449385</x:v>
      </x:c>
      <x:c r="G92" s="3" t="n">
        <x:f>0</x:f>
        <x:v>0</x:v>
      </x:c>
      <x:c r="H92" s="3" t="n">
        <x:f>0</x:f>
        <x:v>0</x:v>
      </x:c>
      <x:c r="I92" s="3" t="n">
        <x:f>0</x:f>
        <x:v>0</x:v>
      </x:c>
      <x:c r="J92" s="3" t="n">
        <x:f>J32*J52</x:f>
        <x:v>164502.96432621393</x:v>
      </x:c>
      <x:c r="K92" s="3" t="n">
        <x:f>0</x:f>
        <x:v>0</x:v>
      </x:c>
      <x:c r="L92" s="3" t="n">
        <x:f>0</x:f>
        <x:v>0</x:v>
      </x:c>
      <x:c r="M92" s="3" t="n">
        <x:f>0</x:f>
        <x:v>0</x:v>
      </x:c>
      <x:c r="N92" s="3" t="n">
        <x:f>N32*N52</x:f>
        <x:v>174999.4578024176</x:v>
      </x:c>
      <x:c r="O92" s="3" t="n">
        <x:f>0</x:f>
        <x:v>0</x:v>
      </x:c>
      <x:c r="P92" s="3" t="n">
        <x:f>0</x:f>
        <x:v>0</x:v>
      </x:c>
      <x:c r="Q92" s="3" t="n">
        <x:f>0</x:f>
        <x:v>0</x:v>
      </x:c>
      <x:c r="R92" s="3" t="n">
        <x:f>R32*R52</x:f>
        <x:v>174602.12128604713</x:v>
      </x:c>
      <x:c r="S92" s="3" t="n">
        <x:f>0</x:f>
        <x:v>0</x:v>
      </x:c>
      <x:c r="T92" s="3" t="n">
        <x:f>0</x:f>
        <x:v>0</x:v>
      </x:c>
    </x:row>
    <x:row r="93" ht="25" customHeight="1">
      <x:c r="A93" s="2"/>
      <x:c r="B93" s="2"/>
      <x:c r="C93" s="32" t="str">
        <x:v>Activated Q3:27</x:v>
      </x:c>
      <x:c r="D93" s="3" t="n">
        <x:f>0</x:f>
        <x:v>0</x:v>
      </x:c>
      <x:c r="E93" s="3" t="n">
        <x:f>0</x:f>
        <x:v>0</x:v>
      </x:c>
      <x:c r="F93" s="3" t="n">
        <x:f>0</x:f>
        <x:v>0</x:v>
      </x:c>
      <x:c r="G93" s="3" t="n">
        <x:f>G33*G53</x:f>
        <x:v>126782.24835732229</x:v>
      </x:c>
      <x:c r="H93" s="3" t="n">
        <x:f>0</x:f>
        <x:v>0</x:v>
      </x:c>
      <x:c r="I93" s="3" t="n">
        <x:f>0</x:f>
        <x:v>0</x:v>
      </x:c>
      <x:c r="J93" s="3" t="n">
        <x:f>0</x:f>
        <x:v>0</x:v>
      </x:c>
      <x:c r="K93" s="3" t="n">
        <x:f>K33*K53</x:f>
        <x:v>141812.9002812189</x:v>
      </x:c>
      <x:c r="L93" s="3" t="n">
        <x:f>0</x:f>
        <x:v>0</x:v>
      </x:c>
      <x:c r="M93" s="3" t="n">
        <x:f>0</x:f>
        <x:v>0</x:v>
      </x:c>
      <x:c r="N93" s="3" t="n">
        <x:f>0</x:f>
        <x:v>0</x:v>
      </x:c>
      <x:c r="O93" s="3" t="n">
        <x:f>O33*O53</x:f>
        <x:v>150861.60155380826</x:v>
      </x:c>
      <x:c r="P93" s="3" t="n">
        <x:f>0</x:f>
        <x:v>0</x:v>
      </x:c>
      <x:c r="Q93" s="3" t="n">
        <x:f>0</x:f>
        <x:v>0</x:v>
      </x:c>
      <x:c r="R93" s="3" t="n">
        <x:f>0</x:f>
        <x:v>0</x:v>
      </x:c>
      <x:c r="S93" s="3" t="n">
        <x:f>S33*S53</x:f>
        <x:v>150519.07007417854</x:v>
      </x:c>
      <x:c r="T93" s="3" t="n">
        <x:f>0</x:f>
        <x:v>0</x:v>
      </x:c>
    </x:row>
    <x:row r="94" ht="25" customHeight="1">
      <x:c r="A94" s="2"/>
      <x:c r="B94" s="2"/>
      <x:c r="C94" s="32" t="str">
        <x:v>Activated Q4:27</x:v>
      </x:c>
      <x:c r="D94" s="3" t="n">
        <x:f>0</x:f>
        <x:v>0</x:v>
      </x:c>
      <x:c r="E94" s="3" t="n">
        <x:f>0</x:f>
        <x:v>0</x:v>
      </x:c>
      <x:c r="F94" s="3" t="n">
        <x:f>0</x:f>
        <x:v>0</x:v>
      </x:c>
      <x:c r="G94" s="3" t="n">
        <x:f>0</x:f>
        <x:v>0</x:v>
      </x:c>
      <x:c r="H94" s="3" t="n">
        <x:f>H34*H54</x:f>
        <x:v>152138.69802878675</x:v>
      </x:c>
      <x:c r="I94" s="3" t="n">
        <x:f>0</x:f>
        <x:v>0</x:v>
      </x:c>
      <x:c r="J94" s="3" t="n">
        <x:f>0</x:f>
        <x:v>0</x:v>
      </x:c>
      <x:c r="K94" s="3" t="n">
        <x:f>0</x:f>
        <x:v>0</x:v>
      </x:c>
      <x:c r="L94" s="3" t="n">
        <x:f>L34*L54</x:f>
        <x:v>170175.48033746268</x:v>
      </x:c>
      <x:c r="M94" s="3" t="n">
        <x:f>0</x:f>
        <x:v>0</x:v>
      </x:c>
      <x:c r="N94" s="3" t="n">
        <x:f>0</x:f>
        <x:v>0</x:v>
      </x:c>
      <x:c r="O94" s="3" t="n">
        <x:f>0</x:f>
        <x:v>0</x:v>
      </x:c>
      <x:c r="P94" s="3" t="n">
        <x:f>P34*P54</x:f>
        <x:v>181033.92186456991</x:v>
      </x:c>
      <x:c r="Q94" s="3" t="n">
        <x:f>0</x:f>
        <x:v>0</x:v>
      </x:c>
      <x:c r="R94" s="3" t="n">
        <x:f>0</x:f>
        <x:v>0</x:v>
      </x:c>
      <x:c r="S94" s="3" t="n">
        <x:f>0</x:f>
        <x:v>0</x:v>
      </x:c>
      <x:c r="T94" s="3" t="n">
        <x:f>T34*T54</x:f>
        <x:v>180622.88408901426</x:v>
      </x:c>
    </x:row>
    <x:row r="95" ht="25" customHeight="1">
      <x:c r="A95" s="2"/>
      <x:c r="B95" s="2"/>
      <x:c r="C95" s="32" t="str">
        <x:v>Activated Q1:28</x:v>
      </x:c>
      <x:c r="D95" s="3" t="n">
        <x:f>0</x:f>
        <x:v>0</x:v>
      </x:c>
      <x:c r="E95" s="3" t="n">
        <x:f>0</x:f>
        <x:v>0</x:v>
      </x:c>
      <x:c r="F95" s="3" t="n">
        <x:f>0</x:f>
        <x:v>0</x:v>
      </x:c>
      <x:c r="G95" s="3" t="n">
        <x:f>0</x:f>
        <x:v>0</x:v>
      </x:c>
      <x:c r="H95" s="3" t="n">
        <x:f>0</x:f>
        <x:v>0</x:v>
      </x:c>
      <x:c r="I95" s="3" t="n">
        <x:f>I35*I55</x:f>
        <x:v>325955.294418649</x:v>
      </x:c>
      <x:c r="J95" s="3" t="n">
        <x:f>0</x:f>
        <x:v>0</x:v>
      </x:c>
      <x:c r="K95" s="3" t="n">
        <x:f>0</x:f>
        <x:v>0</x:v>
      </x:c>
      <x:c r="L95" s="3" t="n">
        <x:f>0</x:f>
        <x:v>0</x:v>
      </x:c>
      <x:c r="M95" s="3" t="n">
        <x:f>M35*M55</x:f>
        <x:v>371623.32707918365</x:v>
      </x:c>
      <x:c r="N95" s="3" t="n">
        <x:f>0</x:f>
        <x:v>0</x:v>
      </x:c>
      <x:c r="O95" s="3" t="n">
        <x:f>0</x:f>
        <x:v>0</x:v>
      </x:c>
      <x:c r="P95" s="3" t="n">
        <x:f>0</x:f>
        <x:v>0</x:v>
      </x:c>
      <x:c r="Q95" s="3" t="n">
        <x:f>Q35*Q55</x:f>
        <x:v>394697.38068637263</x:v>
      </x:c>
      <x:c r="R95" s="3" t="n">
        <x:f>0</x:f>
        <x:v>0</x:v>
      </x:c>
      <x:c r="S95" s="3" t="n">
        <x:f>0</x:f>
        <x:v>0</x:v>
      </x:c>
      <x:c r="T95" s="3" t="n">
        <x:f>0</x:f>
        <x:v>0</x:v>
      </x:c>
    </x:row>
    <x:row r="96" ht="25" customHeight="1">
      <x:c r="A96" s="2"/>
      <x:c r="B96" s="2"/>
      <x:c r="C96" s="32" t="str">
        <x:v>Activated Q2:28</x:v>
      </x:c>
      <x:c r="D96" s="3" t="n">
        <x:f>0</x:f>
        <x:v>0</x:v>
      </x:c>
      <x:c r="E96" s="3" t="n">
        <x:f>0</x:f>
        <x:v>0</x:v>
      </x:c>
      <x:c r="F96" s="3" t="n">
        <x:f>0</x:f>
        <x:v>0</x:v>
      </x:c>
      <x:c r="G96" s="3" t="n">
        <x:f>0</x:f>
        <x:v>0</x:v>
      </x:c>
      <x:c r="H96" s="3" t="n">
        <x:f>0</x:f>
        <x:v>0</x:v>
      </x:c>
      <x:c r="I96" s="3" t="n">
        <x:f>0</x:f>
        <x:v>0</x:v>
      </x:c>
      <x:c r="J96" s="3" t="n">
        <x:f>J36*J56</x:f>
        <x:v>483852.61520693323</x:v>
      </x:c>
      <x:c r="K96" s="3" t="n">
        <x:f>0</x:f>
        <x:v>0</x:v>
      </x:c>
      <x:c r="L96" s="3" t="n">
        <x:f>0</x:f>
        <x:v>0</x:v>
      </x:c>
      <x:c r="M96" s="3" t="n">
        <x:f>0</x:f>
        <x:v>0</x:v>
      </x:c>
      <x:c r="N96" s="3" t="n">
        <x:f>N36*N56</x:f>
        <x:v>551642.8840337222</x:v>
      </x:c>
      <x:c r="O96" s="3" t="n">
        <x:f>0</x:f>
        <x:v>0</x:v>
      </x:c>
      <x:c r="P96" s="3" t="n">
        <x:f>0</x:f>
        <x:v>0</x:v>
      </x:c>
      <x:c r="Q96" s="3" t="n">
        <x:f>0</x:f>
        <x:v>0</x:v>
      </x:c>
      <x:c r="R96" s="3" t="n">
        <x:f>R36*R56</x:f>
        <x:v>585894.3331509255</x:v>
      </x:c>
      <x:c r="S96" s="3" t="n">
        <x:f>0</x:f>
        <x:v>0</x:v>
      </x:c>
      <x:c r="T96" s="3" t="n">
        <x:f>0</x:f>
        <x:v>0</x:v>
      </x:c>
    </x:row>
    <x:row r="97" ht="25" customHeight="1">
      <x:c r="A97" s="2"/>
      <x:c r="B97" s="2"/>
      <x:c r="C97" s="32" t="str">
        <x:v>Activated Q3:28</x:v>
      </x:c>
      <x:c r="D97" s="3" t="n">
        <x:f>0</x:f>
        <x:v>0</x:v>
      </x:c>
      <x:c r="E97" s="3" t="n">
        <x:f>0</x:f>
        <x:v>0</x:v>
      </x:c>
      <x:c r="F97" s="3" t="n">
        <x:f>0</x:f>
        <x:v>0</x:v>
      </x:c>
      <x:c r="G97" s="3" t="n">
        <x:f>0</x:f>
        <x:v>0</x:v>
      </x:c>
      <x:c r="H97" s="3" t="n">
        <x:f>0</x:f>
        <x:v>0</x:v>
      </x:c>
      <x:c r="I97" s="3" t="n">
        <x:f>0</x:f>
        <x:v>0</x:v>
      </x:c>
      <x:c r="J97" s="3" t="n">
        <x:f>0</x:f>
        <x:v>0</x:v>
      </x:c>
      <x:c r="K97" s="3" t="n">
        <x:f>K37*K57</x:f>
        <x:v>594611.4874091535</x:v>
      </x:c>
      <x:c r="L97" s="3" t="n">
        <x:f>0</x:f>
        <x:v>0</x:v>
      </x:c>
      <x:c r="M97" s="3" t="n">
        <x:f>0</x:f>
        <x:v>0</x:v>
      </x:c>
      <x:c r="N97" s="3" t="n">
        <x:f>0</x:f>
        <x:v>0</x:v>
      </x:c>
      <x:c r="O97" s="3" t="n">
        <x:f>O37*O57</x:f>
        <x:v>677919.6504987013</x:v>
      </x:c>
      <x:c r="P97" s="3" t="n">
        <x:f>0</x:f>
        <x:v>0</x:v>
      </x:c>
      <x:c r="Q97" s="3" t="n">
        <x:f>0</x:f>
        <x:v>0</x:v>
      </x:c>
      <x:c r="R97" s="3" t="n">
        <x:f>0</x:f>
        <x:v>0</x:v>
      </x:c>
      <x:c r="S97" s="3" t="n">
        <x:f>S37*S57</x:f>
        <x:v>720011.6108713634</x:v>
      </x:c>
      <x:c r="T97" s="3" t="n">
        <x:f>0</x:f>
        <x:v>0</x:v>
      </x:c>
    </x:row>
    <x:row r="98" ht="25" customHeight="1">
      <x:c r="A98" s="2"/>
      <x:c r="B98" s="2"/>
      <x:c r="C98" s="32" t="str">
        <x:v>Activated Q4:28</x:v>
      </x:c>
      <x:c r="D98" s="3" t="n">
        <x:f>0</x:f>
        <x:v>0</x:v>
      </x:c>
      <x:c r="E98" s="3" t="n">
        <x:f>0</x:f>
        <x:v>0</x:v>
      </x:c>
      <x:c r="F98" s="3" t="n">
        <x:f>0</x:f>
        <x:v>0</x:v>
      </x:c>
      <x:c r="G98" s="3" t="n">
        <x:f>0</x:f>
        <x:v>0</x:v>
      </x:c>
      <x:c r="H98" s="3" t="n">
        <x:f>0</x:f>
        <x:v>0</x:v>
      </x:c>
      <x:c r="I98" s="3" t="n">
        <x:f>0</x:f>
        <x:v>0</x:v>
      </x:c>
      <x:c r="J98" s="3" t="n">
        <x:f>0</x:f>
        <x:v>0</x:v>
      </x:c>
      <x:c r="K98" s="3" t="n">
        <x:f>0</x:f>
        <x:v>0</x:v>
      </x:c>
      <x:c r="L98" s="3" t="n">
        <x:f>L38*L58</x:f>
        <x:v>906935.2189499731</x:v>
      </x:c>
      <x:c r="M98" s="3" t="n">
        <x:f>0</x:f>
        <x:v>0</x:v>
      </x:c>
      <x:c r="N98" s="3" t="n">
        <x:f>0</x:f>
        <x:v>0</x:v>
      </x:c>
      <x:c r="O98" s="3" t="n">
        <x:f>0</x:f>
        <x:v>0</x:v>
      </x:c>
      <x:c r="P98" s="3" t="n">
        <x:f>P38*P58</x:f>
        <x:v>1034001.5618172265</x:v>
      </x:c>
      <x:c r="Q98" s="3" t="n">
        <x:f>0</x:f>
        <x:v>0</x:v>
      </x:c>
      <x:c r="R98" s="3" t="n">
        <x:f>0</x:f>
        <x:v>0</x:v>
      </x:c>
      <x:c r="S98" s="3" t="n">
        <x:f>0</x:f>
        <x:v>0</x:v>
      </x:c>
      <x:c r="T98" s="3" t="n">
        <x:f>T38*T58</x:f>
        <x:v>1098202.6109139214</x:v>
      </x:c>
    </x:row>
    <x:row r="99" ht="25" customHeight="1">
      <x:c r="A99" s="2"/>
      <x:c r="B99" s="2"/>
      <x:c r="C99" s="32" t="str">
        <x:v>Activated Q1:29</x:v>
      </x:c>
      <x:c r="D99" s="3" t="n">
        <x:f>0</x:f>
        <x:v>0</x:v>
      </x:c>
      <x:c r="E99" s="3" t="n">
        <x:f>0</x:f>
        <x:v>0</x:v>
      </x:c>
      <x:c r="F99" s="3" t="n">
        <x:f>0</x:f>
        <x:v>0</x:v>
      </x:c>
      <x:c r="G99" s="3" t="n">
        <x:f>0</x:f>
        <x:v>0</x:v>
      </x:c>
      <x:c r="H99" s="3" t="n">
        <x:f>0</x:f>
        <x:v>0</x:v>
      </x:c>
      <x:c r="I99" s="3" t="n">
        <x:f>0</x:f>
        <x:v>0</x:v>
      </x:c>
      <x:c r="J99" s="3" t="n">
        <x:f>0</x:f>
        <x:v>0</x:v>
      </x:c>
      <x:c r="K99" s="3" t="n">
        <x:f>0</x:f>
        <x:v>0</x:v>
      </x:c>
      <x:c r="L99" s="3" t="n">
        <x:f>0</x:f>
        <x:v>0</x:v>
      </x:c>
      <x:c r="M99" s="3" t="n">
        <x:f>M39*M59</x:f>
        <x:v>1582054.1522348733</x:v>
      </x:c>
      <x:c r="N99" s="3" t="n">
        <x:f>0</x:f>
        <x:v>0</x:v>
      </x:c>
      <x:c r="O99" s="3" t="n">
        <x:f>0</x:f>
        <x:v>0</x:v>
      </x:c>
      <x:c r="P99" s="3" t="n">
        <x:f>0</x:f>
        <x:v>0</x:v>
      </x:c>
      <x:c r="Q99" s="3" t="n">
        <x:f>Q39*Q59</x:f>
        <x:v>1802136.0783565992</x:v>
      </x:c>
      <x:c r="R99" s="3" t="n">
        <x:f>0</x:f>
        <x:v>0</x:v>
      </x:c>
      <x:c r="S99" s="3" t="n">
        <x:f>0</x:f>
        <x:v>0</x:v>
      </x:c>
      <x:c r="T99" s="3" t="n">
        <x:f>0</x:f>
        <x:v>0</x:v>
      </x:c>
    </x:row>
    <x:row r="100" ht="25" customHeight="1">
      <x:c r="A100" s="2"/>
      <x:c r="B100" s="2"/>
      <x:c r="C100" s="32" t="str">
        <x:v>Activated Q2:29</x:v>
      </x:c>
      <x:c r="D100" s="3" t="n">
        <x:f>0</x:f>
        <x:v>0</x:v>
      </x:c>
      <x:c r="E100" s="3" t="n">
        <x:f>0</x:f>
        <x:v>0</x:v>
      </x:c>
      <x:c r="F100" s="3" t="n">
        <x:f>0</x:f>
        <x:v>0</x:v>
      </x:c>
      <x:c r="G100" s="3" t="n">
        <x:f>0</x:f>
        <x:v>0</x:v>
      </x:c>
      <x:c r="H100" s="3" t="n">
        <x:f>0</x:f>
        <x:v>0</x:v>
      </x:c>
      <x:c r="I100" s="3" t="n">
        <x:f>0</x:f>
        <x:v>0</x:v>
      </x:c>
      <x:c r="J100" s="3" t="n">
        <x:f>0</x:f>
        <x:v>0</x:v>
      </x:c>
      <x:c r="K100" s="3" t="n">
        <x:f>0</x:f>
        <x:v>0</x:v>
      </x:c>
      <x:c r="L100" s="3" t="n">
        <x:f>0</x:f>
        <x:v>0</x:v>
      </x:c>
      <x:c r="M100" s="3" t="n">
        <x:f>0</x:f>
        <x:v>0</x:v>
      </x:c>
      <x:c r="N100" s="3" t="n">
        <x:f>N40*N60</x:f>
        <x:v>2627808.536562481</x:v>
      </x:c>
      <x:c r="O100" s="3" t="n">
        <x:f>0</x:f>
        <x:v>0</x:v>
      </x:c>
      <x:c r="P100" s="3" t="n">
        <x:f>0</x:f>
        <x:v>0</x:v>
      </x:c>
      <x:c r="Q100" s="3" t="n">
        <x:f>0</x:f>
        <x:v>0</x:v>
      </x:c>
      <x:c r="R100" s="3" t="n">
        <x:f>R40*R60</x:f>
        <x:v>2993366.9236687683</x:v>
      </x:c>
      <x:c r="S100" s="3" t="n">
        <x:f>0</x:f>
        <x:v>0</x:v>
      </x:c>
      <x:c r="T100" s="3" t="n">
        <x:f>0</x:f>
        <x:v>0</x:v>
      </x:c>
    </x:row>
    <x:row r="101" ht="25" customHeight="1">
      <x:c r="A101" s="2"/>
      <x:c r="B101" s="2"/>
      <x:c r="C101" s="32" t="str">
        <x:v>Activated Q3:29</x:v>
      </x:c>
      <x:c r="D101" s="3" t="n">
        <x:f>0</x:f>
        <x:v>0</x:v>
      </x:c>
      <x:c r="E101" s="3" t="n">
        <x:f>0</x:f>
        <x:v>0</x:v>
      </x:c>
      <x:c r="F101" s="3" t="n">
        <x:f>0</x:f>
        <x:v>0</x:v>
      </x:c>
      <x:c r="G101" s="3" t="n">
        <x:f>0</x:f>
        <x:v>0</x:v>
      </x:c>
      <x:c r="H101" s="3" t="n">
        <x:f>0</x:f>
        <x:v>0</x:v>
      </x:c>
      <x:c r="I101" s="3" t="n">
        <x:f>0</x:f>
        <x:v>0</x:v>
      </x:c>
      <x:c r="J101" s="3" t="n">
        <x:f>0</x:f>
        <x:v>0</x:v>
      </x:c>
      <x:c r="K101" s="3" t="n">
        <x:f>0</x:f>
        <x:v>0</x:v>
      </x:c>
      <x:c r="L101" s="3" t="n">
        <x:f>0</x:f>
        <x:v>0</x:v>
      </x:c>
      <x:c r="M101" s="3" t="n">
        <x:f>0</x:f>
        <x:v>0</x:v>
      </x:c>
      <x:c r="N101" s="3" t="n">
        <x:f>0</x:f>
        <x:v>0</x:v>
      </x:c>
      <x:c r="O101" s="3" t="n">
        <x:f>O41*O61</x:f>
        <x:v>3193840.494720109</x:v>
      </x:c>
      <x:c r="P101" s="3" t="n">
        <x:f>0</x:f>
        <x:v>0</x:v>
      </x:c>
      <x:c r="Q101" s="3" t="n">
        <x:f>0</x:f>
        <x:v>0</x:v>
      </x:c>
      <x:c r="R101" s="3" t="n">
        <x:f>0</x:f>
        <x:v>0</x:v>
      </x:c>
      <x:c r="S101" s="3" t="n">
        <x:f>S41*S61</x:f>
        <x:v>3638140.4365461287</x:v>
      </x:c>
      <x:c r="T101" s="3" t="n">
        <x:f>0</x:f>
        <x:v>0</x:v>
      </x:c>
    </x:row>
    <x:row r="102" ht="25" customHeight="1">
      <x:c r="A102" s="2"/>
      <x:c r="B102" s="2"/>
      <x:c r="C102" s="32" t="str">
        <x:v>Activated Q4:29</x:v>
      </x:c>
      <x:c r="D102" s="3" t="n">
        <x:f>0</x:f>
        <x:v>0</x:v>
      </x:c>
      <x:c r="E102" s="3" t="n">
        <x:f>0</x:f>
        <x:v>0</x:v>
      </x:c>
      <x:c r="F102" s="3" t="n">
        <x:f>0</x:f>
        <x:v>0</x:v>
      </x:c>
      <x:c r="G102" s="3" t="n">
        <x:f>0</x:f>
        <x:v>0</x:v>
      </x:c>
      <x:c r="H102" s="3" t="n">
        <x:f>0</x:f>
        <x:v>0</x:v>
      </x:c>
      <x:c r="I102" s="3" t="n">
        <x:f>0</x:f>
        <x:v>0</x:v>
      </x:c>
      <x:c r="J102" s="3" t="n">
        <x:f>0</x:f>
        <x:v>0</x:v>
      </x:c>
      <x:c r="K102" s="3" t="n">
        <x:f>0</x:f>
        <x:v>0</x:v>
      </x:c>
      <x:c r="L102" s="3" t="n">
        <x:f>0</x:f>
        <x:v>0</x:v>
      </x:c>
      <x:c r="M102" s="3" t="n">
        <x:f>0</x:f>
        <x:v>0</x:v>
      </x:c>
      <x:c r="N102" s="3" t="n">
        <x:f>0</x:f>
        <x:v>0</x:v>
      </x:c>
      <x:c r="O102" s="3" t="n">
        <x:f>0</x:f>
        <x:v>0</x:v>
      </x:c>
      <x:c r="P102" s="3" t="n">
        <x:f>P42*P62</x:f>
        <x:v>4396227.504497091</x:v>
      </x:c>
      <x:c r="Q102" s="3" t="n">
        <x:f>0</x:f>
        <x:v>0</x:v>
      </x:c>
      <x:c r="R102" s="3" t="n">
        <x:f>0</x:f>
        <x:v>0</x:v>
      </x:c>
      <x:c r="S102" s="3" t="n">
        <x:f>0</x:f>
        <x:v>0</x:v>
      </x:c>
      <x:c r="T102" s="3" t="n">
        <x:f>T42*T62</x:f>
        <x:v>5007793.30677526</x:v>
      </x:c>
    </x:row>
    <x:row r="103" ht="25" customHeight="1">
      <x:c r="A103" s="2"/>
      <x:c r="B103" s="2"/>
      <x:c r="C103" s="32" t="str">
        <x:v>Activated Q1:30</x:v>
      </x:c>
      <x:c r="D103" s="3" t="n">
        <x:f>0</x:f>
        <x:v>0</x:v>
      </x:c>
      <x:c r="E103" s="3" t="n">
        <x:f>0</x:f>
        <x:v>0</x:v>
      </x:c>
      <x:c r="F103" s="3" t="n">
        <x:f>0</x:f>
        <x:v>0</x:v>
      </x:c>
      <x:c r="G103" s="3" t="n">
        <x:f>0</x:f>
        <x:v>0</x:v>
      </x:c>
      <x:c r="H103" s="3" t="n">
        <x:f>0</x:f>
        <x:v>0</x:v>
      </x:c>
      <x:c r="I103" s="3" t="n">
        <x:f>0</x:f>
        <x:v>0</x:v>
      </x:c>
      <x:c r="J103" s="3" t="n">
        <x:f>0</x:f>
        <x:v>0</x:v>
      </x:c>
      <x:c r="K103" s="3" t="n">
        <x:f>0</x:f>
        <x:v>0</x:v>
      </x:c>
      <x:c r="L103" s="3" t="n">
        <x:f>0</x:f>
        <x:v>0</x:v>
      </x:c>
      <x:c r="M103" s="3" t="n">
        <x:f>0</x:f>
        <x:v>0</x:v>
      </x:c>
      <x:c r="N103" s="3" t="n">
        <x:f>0</x:f>
        <x:v>0</x:v>
      </x:c>
      <x:c r="O103" s="3" t="n">
        <x:f>0</x:f>
        <x:v>0</x:v>
      </x:c>
      <x:c r="P103" s="3" t="n">
        <x:f>0</x:f>
        <x:v>0</x:v>
      </x:c>
      <x:c r="Q103" s="3" t="n">
        <x:f>Q43*Q63</x:f>
        <x:v>6935600.498902201</x:v>
      </x:c>
      <x:c r="R103" s="3" t="n">
        <x:f>0</x:f>
        <x:v>0</x:v>
      </x:c>
      <x:c r="S103" s="3" t="n">
        <x:f>0</x:f>
        <x:v>0</x:v>
      </x:c>
      <x:c r="T103" s="3" t="n">
        <x:f>0</x:f>
        <x:v>0</x:v>
      </x:c>
    </x:row>
    <x:row r="104" ht="25" customHeight="1">
      <x:c r="A104" s="2"/>
      <x:c r="B104" s="2"/>
      <x:c r="C104" s="32" t="str">
        <x:v>Activated Q2:30</x:v>
      </x:c>
      <x:c r="D104" s="3" t="n">
        <x:f>0</x:f>
        <x:v>0</x:v>
      </x:c>
      <x:c r="E104" s="3" t="n">
        <x:f>0</x:f>
        <x:v>0</x:v>
      </x:c>
      <x:c r="F104" s="3" t="n">
        <x:f>0</x:f>
        <x:v>0</x:v>
      </x:c>
      <x:c r="G104" s="3" t="n">
        <x:f>0</x:f>
        <x:v>0</x:v>
      </x:c>
      <x:c r="H104" s="3" t="n">
        <x:f>0</x:f>
        <x:v>0</x:v>
      </x:c>
      <x:c r="I104" s="3" t="n">
        <x:f>0</x:f>
        <x:v>0</x:v>
      </x:c>
      <x:c r="J104" s="3" t="n">
        <x:f>0</x:f>
        <x:v>0</x:v>
      </x:c>
      <x:c r="K104" s="3" t="n">
        <x:f>0</x:f>
        <x:v>0</x:v>
      </x:c>
      <x:c r="L104" s="3" t="n">
        <x:f>0</x:f>
        <x:v>0</x:v>
      </x:c>
      <x:c r="M104" s="3" t="n">
        <x:f>0</x:f>
        <x:v>0</x:v>
      </x:c>
      <x:c r="N104" s="3" t="n">
        <x:f>0</x:f>
        <x:v>0</x:v>
      </x:c>
      <x:c r="O104" s="3" t="n">
        <x:f>0</x:f>
        <x:v>0</x:v>
      </x:c>
      <x:c r="P104" s="3" t="n">
        <x:f>0</x:f>
        <x:v>0</x:v>
      </x:c>
      <x:c r="Q104" s="3" t="n">
        <x:f>0</x:f>
        <x:v>0</x:v>
      </x:c>
      <x:c r="R104" s="3" t="n">
        <x:f>R44*R64</x:f>
        <x:v>9866979.618497986</x:v>
      </x:c>
      <x:c r="S104" s="3" t="n">
        <x:f>0</x:f>
        <x:v>0</x:v>
      </x:c>
      <x:c r="T104" s="3" t="n">
        <x:f>0</x:f>
        <x:v>0</x:v>
      </x:c>
    </x:row>
    <x:row r="105" ht="25" customHeight="1">
      <x:c r="A105" s="2"/>
      <x:c r="B105" s="2"/>
      <x:c r="C105" s="32" t="str">
        <x:v>Activated Q3:30</x:v>
      </x:c>
      <x:c r="D105" s="3" t="n">
        <x:f>0</x:f>
        <x:v>0</x:v>
      </x:c>
      <x:c r="E105" s="3" t="n">
        <x:f>0</x:f>
        <x:v>0</x:v>
      </x:c>
      <x:c r="F105" s="3" t="n">
        <x:f>0</x:f>
        <x:v>0</x:v>
      </x:c>
      <x:c r="G105" s="3" t="n">
        <x:f>0</x:f>
        <x:v>0</x:v>
      </x:c>
      <x:c r="H105" s="3" t="n">
        <x:f>0</x:f>
        <x:v>0</x:v>
      </x:c>
      <x:c r="I105" s="3" t="n">
        <x:f>0</x:f>
        <x:v>0</x:v>
      </x:c>
      <x:c r="J105" s="3" t="n">
        <x:f>0</x:f>
        <x:v>0</x:v>
      </x:c>
      <x:c r="K105" s="3" t="n">
        <x:f>0</x:f>
        <x:v>0</x:v>
      </x:c>
      <x:c r="L105" s="3" t="n">
        <x:f>0</x:f>
        <x:v>0</x:v>
      </x:c>
      <x:c r="M105" s="3" t="n">
        <x:f>0</x:f>
        <x:v>0</x:v>
      </x:c>
      <x:c r="N105" s="3" t="n">
        <x:f>0</x:f>
        <x:v>0</x:v>
      </x:c>
      <x:c r="O105" s="3" t="n">
        <x:f>0</x:f>
        <x:v>0</x:v>
      </x:c>
      <x:c r="P105" s="3" t="n">
        <x:f>0</x:f>
        <x:v>0</x:v>
      </x:c>
      <x:c r="Q105" s="3" t="n">
        <x:f>0</x:f>
        <x:v>0</x:v>
      </x:c>
      <x:c r="R105" s="3" t="n">
        <x:f>0</x:f>
        <x:v>0</x:v>
      </x:c>
      <x:c r="S105" s="3" t="n">
        <x:f>S45*S65</x:f>
        <x:v>11095882.760621771</x:v>
      </x:c>
      <x:c r="T105" s="3" t="n">
        <x:f>0</x:f>
        <x:v>0</x:v>
      </x:c>
    </x:row>
    <x:row r="106" ht="25" customHeight="1">
      <x:c r="A106" s="2"/>
      <x:c r="B106" s="2"/>
      <x:c r="C106" s="32" t="str">
        <x:v>Activated Q4:30</x:v>
      </x:c>
      <x:c r="D106" s="3" t="n">
        <x:f>0</x:f>
        <x:v>0</x:v>
      </x:c>
      <x:c r="E106" s="3" t="n">
        <x:f>0</x:f>
        <x:v>0</x:v>
      </x:c>
      <x:c r="F106" s="3" t="n">
        <x:f>0</x:f>
        <x:v>0</x:v>
      </x:c>
      <x:c r="G106" s="3" t="n">
        <x:f>0</x:f>
        <x:v>0</x:v>
      </x:c>
      <x:c r="H106" s="3" t="n">
        <x:f>0</x:f>
        <x:v>0</x:v>
      </x:c>
      <x:c r="I106" s="3" t="n">
        <x:f>0</x:f>
        <x:v>0</x:v>
      </x:c>
      <x:c r="J106" s="3" t="n">
        <x:f>0</x:f>
        <x:v>0</x:v>
      </x:c>
      <x:c r="K106" s="3" t="n">
        <x:f>0</x:f>
        <x:v>0</x:v>
      </x:c>
      <x:c r="L106" s="3" t="n">
        <x:f>0</x:f>
        <x:v>0</x:v>
      </x:c>
      <x:c r="M106" s="3" t="n">
        <x:f>0</x:f>
        <x:v>0</x:v>
      </x:c>
      <x:c r="N106" s="3" t="n">
        <x:f>0</x:f>
        <x:v>0</x:v>
      </x:c>
      <x:c r="O106" s="3" t="n">
        <x:f>0</x:f>
        <x:v>0</x:v>
      </x:c>
      <x:c r="P106" s="3" t="n">
        <x:f>0</x:f>
        <x:v>0</x:v>
      </x:c>
      <x:c r="Q106" s="3" t="n">
        <x:f>0</x:f>
        <x:v>0</x:v>
      </x:c>
      <x:c r="R106" s="3" t="n">
        <x:f>0</x:f>
        <x:v>0</x:v>
      </x:c>
      <x:c r="S106" s="3" t="n">
        <x:f>0</x:f>
        <x:v>0</x:v>
      </x:c>
      <x:c r="T106" s="3" t="n">
        <x:f>T46*T66</x:f>
        <x:v>9299487.626007322</x:v>
      </x:c>
    </x:row>
    <x:row r="107" ht="25" customHeight="1">
      <x:c r="A107" s="2"/>
      <x:c r="B107" s="2"/>
      <x:c r="C107" s="32"/>
      <x:c r="D107" s="3"/>
      <x:c r="E107" s="3"/>
      <x:c r="F107" s="3"/>
      <x:c r="G107" s="3"/>
      <x:c r="H107" s="3"/>
      <x:c r="I107" s="3"/>
      <x:c r="J107" s="3"/>
      <x:c r="K107" s="3"/>
      <x:c r="L107" s="3"/>
      <x:c r="M107" s="3"/>
      <x:c r="N107" s="3"/>
      <x:c r="O107" s="3"/>
      <x:c r="P107" s="3"/>
      <x:c r="Q107" s="3"/>
      <x:c r="R107" s="3"/>
      <x:c r="S107" s="3"/>
      <x:c r="T107" s="3"/>
    </x:row>
    <x:row r="108" ht="25" customHeight="1">
      <x:c r="A108" s="2"/>
      <x:c r="B108" s="2"/>
      <x:c r="C108" s="32"/>
      <x:c r="D108" s="3"/>
      <x:c r="E108" s="3"/>
      <x:c r="F108" s="3"/>
      <x:c r="G108" s="3"/>
      <x:c r="H108" s="3"/>
      <x:c r="I108" s="3"/>
      <x:c r="J108" s="3"/>
      <x:c r="K108" s="3"/>
      <x:c r="L108" s="3"/>
      <x:c r="M108" s="3"/>
      <x:c r="N108" s="3"/>
      <x:c r="O108" s="3"/>
      <x:c r="P108" s="3"/>
      <x:c r="Q108" s="3"/>
      <x:c r="R108" s="3"/>
      <x:c r="S108" s="3"/>
      <x:c r="T108" s="3"/>
    </x:row>
    <x:row r="109" ht="27" customHeight="1">
      <x:c r="A109" s="2"/>
      <x:c r="B109" s="2"/>
      <x:c r="C109" s="61" t="str">
        <x:v>Partner revenue by cohort, EUR</x:v>
      </x:c>
      <x:c r="D109" s="15"/>
      <x:c r="E109" s="15"/>
      <x:c r="F109" s="15"/>
      <x:c r="G109" s="15"/>
      <x:c r="H109" s="15"/>
      <x:c r="I109" s="15"/>
      <x:c r="J109" s="15"/>
      <x:c r="K109" s="15"/>
      <x:c r="L109" s="15"/>
      <x:c r="M109" s="15"/>
      <x:c r="N109" s="15"/>
      <x:c r="O109" s="15"/>
      <x:c r="P109" s="15"/>
      <x:c r="Q109" s="15"/>
      <x:c r="R109" s="15"/>
      <x:c r="S109" s="15"/>
      <x:c r="T109" s="15"/>
    </x:row>
    <x:row r="110" ht="25" customHeight="1">
      <x:c r="A110" s="2"/>
      <x:c r="B110" s="2"/>
      <x:c r="C110" s="32" t="str">
        <x:v>Activated Q4:26</x:v>
      </x:c>
      <x:c r="D110" s="52" t="n">
        <x:f>IF('Sales'!D25=0,0,D70*'Sales'!D27/'Sales'!D25)</x:f>
        <x:v>0</x:v>
      </x:c>
      <x:c r="E110" s="52" t="n">
        <x:f>IF('Sales'!D25=0,0,E70*'Sales'!D27/'Sales'!D25)</x:f>
        <x:v>0</x:v>
      </x:c>
      <x:c r="F110" s="52" t="n">
        <x:f>IF('Sales'!D25=0,0,F70*'Sales'!D27/'Sales'!D25)</x:f>
        <x:v>0</x:v>
      </x:c>
      <x:c r="G110" s="52" t="n">
        <x:f>IF('Sales'!D25=0,0,G70*'Sales'!D27/'Sales'!D25)</x:f>
        <x:v>0</x:v>
      </x:c>
      <x:c r="H110" s="52" t="n">
        <x:f>IF('Sales'!D25=0,0,H70*'Sales'!D27/'Sales'!D25)</x:f>
        <x:v>0</x:v>
      </x:c>
      <x:c r="I110" s="52" t="n">
        <x:f>IF('Sales'!D25=0,0,I70*'Sales'!D27/'Sales'!D25)</x:f>
        <x:v>0</x:v>
      </x:c>
      <x:c r="J110" s="52" t="n">
        <x:f>IF('Sales'!D25=0,0,J70*'Sales'!D27/'Sales'!D25)</x:f>
        <x:v>0</x:v>
      </x:c>
      <x:c r="K110" s="52" t="n">
        <x:f>IF('Sales'!D25=0,0,K70*'Sales'!D27/'Sales'!D25)</x:f>
        <x:v>0</x:v>
      </x:c>
      <x:c r="L110" s="52" t="n">
        <x:f>IF('Sales'!D25=0,0,L70*'Sales'!D27/'Sales'!D25)</x:f>
        <x:v>0</x:v>
      </x:c>
      <x:c r="M110" s="52" t="n">
        <x:f>IF('Sales'!D25=0,0,M70*'Sales'!D27/'Sales'!D25)</x:f>
        <x:v>0</x:v>
      </x:c>
      <x:c r="N110" s="52" t="n">
        <x:f>IF('Sales'!D25=0,0,N70*'Sales'!D27/'Sales'!D25)</x:f>
        <x:v>0</x:v>
      </x:c>
      <x:c r="O110" s="52" t="n">
        <x:f>IF('Sales'!D25=0,0,O70*'Sales'!D27/'Sales'!D25)</x:f>
        <x:v>0</x:v>
      </x:c>
      <x:c r="P110" s="52" t="n">
        <x:f>IF('Sales'!D25=0,0,P70*'Sales'!D27/'Sales'!D25)</x:f>
        <x:v>0</x:v>
      </x:c>
      <x:c r="Q110" s="52" t="n">
        <x:f>IF('Sales'!D25=0,0,Q70*'Sales'!D27/'Sales'!D25)</x:f>
        <x:v>0</x:v>
      </x:c>
      <x:c r="R110" s="52" t="n">
        <x:f>IF('Sales'!D25=0,0,R70*'Sales'!D27/'Sales'!D25)</x:f>
        <x:v>0</x:v>
      </x:c>
      <x:c r="S110" s="52" t="n">
        <x:f>IF('Sales'!D25=0,0,S70*'Sales'!D27/'Sales'!D25)</x:f>
        <x:v>0</x:v>
      </x:c>
      <x:c r="T110" s="52" t="n">
        <x:f>IF('Sales'!D25=0,0,T70*'Sales'!D27/'Sales'!D25)</x:f>
        <x:v>0</x:v>
      </x:c>
    </x:row>
    <x:row r="111" ht="25" customHeight="1">
      <x:c r="A111" s="2"/>
      <x:c r="B111" s="2"/>
      <x:c r="C111" s="32" t="str">
        <x:v>Activated Q1:27</x:v>
      </x:c>
      <x:c r="D111" s="3" t="n">
        <x:f>0</x:f>
        <x:v>0</x:v>
      </x:c>
      <x:c r="E111" s="52" t="n">
        <x:f>IF('Sales'!E25=0,0,E71*'Sales'!E27/'Sales'!E25)</x:f>
        <x:v>0</x:v>
      </x:c>
      <x:c r="F111" s="52" t="n">
        <x:f>IF('Sales'!E25=0,0,F71*'Sales'!E27/'Sales'!E25)</x:f>
        <x:v>0</x:v>
      </x:c>
      <x:c r="G111" s="52" t="n">
        <x:f>IF('Sales'!E25=0,0,G71*'Sales'!E27/'Sales'!E25)</x:f>
        <x:v>0</x:v>
      </x:c>
      <x:c r="H111" s="52" t="n">
        <x:f>IF('Sales'!E25=0,0,H71*'Sales'!E27/'Sales'!E25)</x:f>
        <x:v>0</x:v>
      </x:c>
      <x:c r="I111" s="52" t="n">
        <x:f>IF('Sales'!E25=0,0,I71*'Sales'!E27/'Sales'!E25)</x:f>
        <x:v>0</x:v>
      </x:c>
      <x:c r="J111" s="52" t="n">
        <x:f>IF('Sales'!E25=0,0,J71*'Sales'!E27/'Sales'!E25)</x:f>
        <x:v>0</x:v>
      </x:c>
      <x:c r="K111" s="52" t="n">
        <x:f>IF('Sales'!E25=0,0,K71*'Sales'!E27/'Sales'!E25)</x:f>
        <x:v>0</x:v>
      </x:c>
      <x:c r="L111" s="52" t="n">
        <x:f>IF('Sales'!E25=0,0,L71*'Sales'!E27/'Sales'!E25)</x:f>
        <x:v>0</x:v>
      </x:c>
      <x:c r="M111" s="52" t="n">
        <x:f>IF('Sales'!E25=0,0,M71*'Sales'!E27/'Sales'!E25)</x:f>
        <x:v>0</x:v>
      </x:c>
      <x:c r="N111" s="52" t="n">
        <x:f>IF('Sales'!E25=0,0,N71*'Sales'!E27/'Sales'!E25)</x:f>
        <x:v>0</x:v>
      </x:c>
      <x:c r="O111" s="52" t="n">
        <x:f>IF('Sales'!E25=0,0,O71*'Sales'!E27/'Sales'!E25)</x:f>
        <x:v>0</x:v>
      </x:c>
      <x:c r="P111" s="52" t="n">
        <x:f>IF('Sales'!E25=0,0,P71*'Sales'!E27/'Sales'!E25)</x:f>
        <x:v>0</x:v>
      </x:c>
      <x:c r="Q111" s="52" t="n">
        <x:f>IF('Sales'!E25=0,0,Q71*'Sales'!E27/'Sales'!E25)</x:f>
        <x:v>0</x:v>
      </x:c>
      <x:c r="R111" s="52" t="n">
        <x:f>IF('Sales'!E25=0,0,R71*'Sales'!E27/'Sales'!E25)</x:f>
        <x:v>0</x:v>
      </x:c>
      <x:c r="S111" s="52" t="n">
        <x:f>IF('Sales'!E25=0,0,S71*'Sales'!E27/'Sales'!E25)</x:f>
        <x:v>0</x:v>
      </x:c>
      <x:c r="T111" s="52" t="n">
        <x:f>IF('Sales'!E25=0,0,T71*'Sales'!E27/'Sales'!E25)</x:f>
        <x:v>0</x:v>
      </x:c>
    </x:row>
    <x:row r="112" ht="25" customHeight="1">
      <x:c r="A112" s="2"/>
      <x:c r="B112" s="2"/>
      <x:c r="C112" s="32" t="str">
        <x:v>Activated Q2:27</x:v>
      </x:c>
      <x:c r="D112" s="3" t="n">
        <x:f>0</x:f>
        <x:v>0</x:v>
      </x:c>
      <x:c r="E112" s="3" t="n">
        <x:f>0</x:f>
        <x:v>0</x:v>
      </x:c>
      <x:c r="F112" s="52" t="n">
        <x:f>IF('Sales'!F25=0,0,F72*'Sales'!F27/'Sales'!F25)</x:f>
        <x:v>91.68791028335315</x:v>
      </x:c>
      <x:c r="G112" s="52" t="n">
        <x:f>IF('Sales'!F25=0,0,G72*'Sales'!F27/'Sales'!F25)</x:f>
        <x:v>91.68791028335315</x:v>
      </x:c>
      <x:c r="H112" s="52" t="n">
        <x:f>IF('Sales'!F25=0,0,H72*'Sales'!F27/'Sales'!F25)</x:f>
        <x:v>91.68791028335315</x:v>
      </x:c>
      <x:c r="I112" s="52" t="n">
        <x:f>IF('Sales'!F25=0,0,I72*'Sales'!F27/'Sales'!F25)</x:f>
        <x:v>91.68791028335315</x:v>
      </x:c>
      <x:c r="J112" s="52" t="n">
        <x:f>IF('Sales'!F25=0,0,J72*'Sales'!F27/'Sales'!F25)</x:f>
        <x:v>102.55795780936351</x:v>
      </x:c>
      <x:c r="K112" s="52" t="n">
        <x:f>IF('Sales'!F25=0,0,K72*'Sales'!F27/'Sales'!F25)</x:f>
        <x:v>102.55795780936351</x:v>
      </x:c>
      <x:c r="L112" s="52" t="n">
        <x:f>IF('Sales'!F25=0,0,L72*'Sales'!F27/'Sales'!F25)</x:f>
        <x:v>102.55795780936351</x:v>
      </x:c>
      <x:c r="M112" s="52" t="n">
        <x:f>IF('Sales'!F25=0,0,M72*'Sales'!F27/'Sales'!F25)</x:f>
        <x:v>102.55795780936351</x:v>
      </x:c>
      <x:c r="N112" s="52" t="n">
        <x:f>IF('Sales'!F25=0,0,N72*'Sales'!F27/'Sales'!F25)</x:f>
        <x:v>109.1019063606129</x:v>
      </x:c>
      <x:c r="O112" s="52" t="n">
        <x:f>IF('Sales'!F25=0,0,O72*'Sales'!F27/'Sales'!F25)</x:f>
        <x:v>109.1019063606129</x:v>
      </x:c>
      <x:c r="P112" s="52" t="n">
        <x:f>IF('Sales'!F25=0,0,P72*'Sales'!F27/'Sales'!F25)</x:f>
        <x:v>109.1019063606129</x:v>
      </x:c>
      <x:c r="Q112" s="52" t="n">
        <x:f>IF('Sales'!F25=0,0,Q72*'Sales'!F27/'Sales'!F25)</x:f>
        <x:v>109.1019063606129</x:v>
      </x:c>
      <x:c r="R112" s="52" t="n">
        <x:f>IF('Sales'!F25=0,0,R72*'Sales'!F27/'Sales'!F25)</x:f>
        <x:v>108.85419032796297</x:v>
      </x:c>
      <x:c r="S112" s="52" t="n">
        <x:f>IF('Sales'!F25=0,0,S72*'Sales'!F27/'Sales'!F25)</x:f>
        <x:v>108.85419032796297</x:v>
      </x:c>
      <x:c r="T112" s="52" t="n">
        <x:f>IF('Sales'!F25=0,0,T72*'Sales'!F27/'Sales'!F25)</x:f>
        <x:v>108.85419032796297</x:v>
      </x:c>
    </x:row>
    <x:row r="113" ht="25" customHeight="1">
      <x:c r="A113" s="2"/>
      <x:c r="B113" s="2"/>
      <x:c r="C113" s="32" t="str">
        <x:v>Activated Q3:27</x:v>
      </x:c>
      <x:c r="D113" s="3" t="n">
        <x:f>0</x:f>
        <x:v>0</x:v>
      </x:c>
      <x:c r="E113" s="3" t="n">
        <x:f>0</x:f>
        <x:v>0</x:v>
      </x:c>
      <x:c r="F113" s="3" t="n">
        <x:f>0</x:f>
        <x:v>0</x:v>
      </x:c>
      <x:c r="G113" s="52" t="n">
        <x:f>IF('Sales'!G25=0,0,G73*'Sales'!G27/'Sales'!G25)</x:f>
        <x:v>626.2369995639588</x:v>
      </x:c>
      <x:c r="H113" s="52" t="n">
        <x:f>IF('Sales'!G25=0,0,H73*'Sales'!G27/'Sales'!G25)</x:f>
        <x:v>626.2369995639588</x:v>
      </x:c>
      <x:c r="I113" s="52" t="n">
        <x:f>IF('Sales'!G25=0,0,I73*'Sales'!G27/'Sales'!G25)</x:f>
        <x:v>626.2369995639588</x:v>
      </x:c>
      <x:c r="J113" s="52" t="n">
        <x:f>IF('Sales'!G25=0,0,J73*'Sales'!G27/'Sales'!G25)</x:f>
        <x:v>626.2369995639588</x:v>
      </x:c>
      <x:c r="K113" s="52" t="n">
        <x:f>IF('Sales'!G25=0,0,K73*'Sales'!G27/'Sales'!G25)</x:f>
        <x:v>700.480440457848</x:v>
      </x:c>
      <x:c r="L113" s="52" t="n">
        <x:f>IF('Sales'!G25=0,0,L73*'Sales'!G27/'Sales'!G25)</x:f>
        <x:v>700.480440457848</x:v>
      </x:c>
      <x:c r="M113" s="52" t="n">
        <x:f>IF('Sales'!G25=0,0,M73*'Sales'!G27/'Sales'!G25)</x:f>
        <x:v>700.480440457848</x:v>
      </x:c>
      <x:c r="N113" s="52" t="n">
        <x:f>IF('Sales'!G25=0,0,N73*'Sales'!G27/'Sales'!G25)</x:f>
        <x:v>700.480440457848</x:v>
      </x:c>
      <x:c r="O113" s="52" t="n">
        <x:f>IF('Sales'!G25=0,0,O73*'Sales'!G27/'Sales'!G25)</x:f>
        <x:v>745.1762208870304</x:v>
      </x:c>
      <x:c r="P113" s="52" t="n">
        <x:f>IF('Sales'!G25=0,0,P73*'Sales'!G27/'Sales'!G25)</x:f>
        <x:v>745.1762208870304</x:v>
      </x:c>
      <x:c r="Q113" s="52" t="n">
        <x:f>IF('Sales'!G25=0,0,Q73*'Sales'!G27/'Sales'!G25)</x:f>
        <x:v>745.1762208870304</x:v>
      </x:c>
      <x:c r="R113" s="52" t="n">
        <x:f>IF('Sales'!G25=0,0,R73*'Sales'!G27/'Sales'!G25)</x:f>
        <x:v>745.1762208870304</x:v>
      </x:c>
      <x:c r="S113" s="52" t="n">
        <x:f>IF('Sales'!G25=0,0,S73*'Sales'!G27/'Sales'!G25)</x:f>
        <x:v>743.4842972239087</x:v>
      </x:c>
      <x:c r="T113" s="52" t="n">
        <x:f>IF('Sales'!G25=0,0,T73*'Sales'!G27/'Sales'!G25)</x:f>
        <x:v>743.4842972239087</x:v>
      </x:c>
    </x:row>
    <x:row r="114" ht="25" customHeight="1">
      <x:c r="A114" s="2"/>
      <x:c r="B114" s="2"/>
      <x:c r="C114" s="32" t="str">
        <x:v>Activated Q4:27</x:v>
      </x:c>
      <x:c r="D114" s="3" t="n">
        <x:f>0</x:f>
        <x:v>0</x:v>
      </x:c>
      <x:c r="E114" s="3" t="n">
        <x:f>0</x:f>
        <x:v>0</x:v>
      </x:c>
      <x:c r="F114" s="3" t="n">
        <x:f>0</x:f>
        <x:v>0</x:v>
      </x:c>
      <x:c r="G114" s="3" t="n">
        <x:f>0</x:f>
        <x:v>0</x:v>
      </x:c>
      <x:c r="H114" s="52" t="n">
        <x:f>IF('Sales'!H25=0,0,H74*'Sales'!H27/'Sales'!H25)</x:f>
        <x:v>2597.550492754545</x:v>
      </x:c>
      <x:c r="I114" s="52" t="n">
        <x:f>IF('Sales'!H25=0,0,I74*'Sales'!H27/'Sales'!H25)</x:f>
        <x:v>2597.550492754545</x:v>
      </x:c>
      <x:c r="J114" s="52" t="n">
        <x:f>IF('Sales'!H25=0,0,J74*'Sales'!H27/'Sales'!H25)</x:f>
        <x:v>2597.550492754545</x:v>
      </x:c>
      <x:c r="K114" s="52" t="n">
        <x:f>IF('Sales'!H25=0,0,K74*'Sales'!H27/'Sales'!H25)</x:f>
        <x:v>2597.550492754545</x:v>
      </x:c>
      <x:c r="L114" s="52" t="n">
        <x:f>IF('Sales'!H25=0,0,L74*'Sales'!H27/'Sales'!H25)</x:f>
        <x:v>2905.502732261305</x:v>
      </x:c>
      <x:c r="M114" s="52" t="n">
        <x:f>IF('Sales'!H25=0,0,M74*'Sales'!H27/'Sales'!H25)</x:f>
        <x:v>2905.502732261305</x:v>
      </x:c>
      <x:c r="N114" s="52" t="n">
        <x:f>IF('Sales'!H25=0,0,N74*'Sales'!H27/'Sales'!H25)</x:f>
        <x:v>2905.502732261305</x:v>
      </x:c>
      <x:c r="O114" s="52" t="n">
        <x:f>IF('Sales'!H25=0,0,O74*'Sales'!H27/'Sales'!H25)</x:f>
        <x:v>2905.502732261305</x:v>
      </x:c>
      <x:c r="P114" s="52" t="n">
        <x:f>IF('Sales'!H25=0,0,P74*'Sales'!H27/'Sales'!H25)</x:f>
        <x:v>3090.895078224112</x:v>
      </x:c>
      <x:c r="Q114" s="52" t="n">
        <x:f>IF('Sales'!H25=0,0,Q74*'Sales'!H27/'Sales'!H25)</x:f>
        <x:v>3090.895078224112</x:v>
      </x:c>
      <x:c r="R114" s="52" t="n">
        <x:f>IF('Sales'!H25=0,0,R74*'Sales'!H27/'Sales'!H25)</x:f>
        <x:v>3090.895078224112</x:v>
      </x:c>
      <x:c r="S114" s="52" t="n">
        <x:f>IF('Sales'!H25=0,0,S74*'Sales'!H27/'Sales'!H25)</x:f>
        <x:v>3090.895078224112</x:v>
      </x:c>
      <x:c r="T114" s="52" t="n">
        <x:f>IF('Sales'!H25=0,0,T74*'Sales'!H27/'Sales'!H25)</x:f>
        <x:v>3083.877196578817</x:v>
      </x:c>
    </x:row>
    <x:row r="115" ht="25" customHeight="1">
      <x:c r="A115" s="2"/>
      <x:c r="B115" s="2"/>
      <x:c r="C115" s="32" t="str">
        <x:v>Activated Q1:28</x:v>
      </x:c>
      <x:c r="D115" s="3" t="n">
        <x:f>0</x:f>
        <x:v>0</x:v>
      </x:c>
      <x:c r="E115" s="3" t="n">
        <x:f>0</x:f>
        <x:v>0</x:v>
      </x:c>
      <x:c r="F115" s="3" t="n">
        <x:f>0</x:f>
        <x:v>0</x:v>
      </x:c>
      <x:c r="G115" s="3" t="n">
        <x:f>0</x:f>
        <x:v>0</x:v>
      </x:c>
      <x:c r="H115" s="3" t="n">
        <x:f>0</x:f>
        <x:v>0</x:v>
      </x:c>
      <x:c r="I115" s="52" t="n">
        <x:f>IF('Sales'!I25=0,0,I75*'Sales'!I27/'Sales'!I25)</x:f>
        <x:v>10441.633012425897</x:v>
      </x:c>
      <x:c r="J115" s="52" t="n">
        <x:f>IF('Sales'!I25=0,0,J75*'Sales'!I27/'Sales'!I25)</x:f>
        <x:v>10441.633012425897</x:v>
      </x:c>
      <x:c r="K115" s="52" t="n">
        <x:f>IF('Sales'!I25=0,0,K75*'Sales'!I27/'Sales'!I25)</x:f>
        <x:v>10441.633012425897</x:v>
      </x:c>
      <x:c r="L115" s="52" t="n">
        <x:f>IF('Sales'!I25=0,0,L75*'Sales'!I27/'Sales'!I25)</x:f>
        <x:v>10441.633012425897</x:v>
      </x:c>
      <x:c r="M115" s="52" t="n">
        <x:f>IF('Sales'!I25=0,0,M75*'Sales'!I27/'Sales'!I25)</x:f>
        <x:v>11904.560124228936</x:v>
      </x:c>
      <x:c r="N115" s="52" t="n">
        <x:f>IF('Sales'!I25=0,0,N75*'Sales'!I27/'Sales'!I25)</x:f>
        <x:v>11904.560124228936</x:v>
      </x:c>
      <x:c r="O115" s="52" t="n">
        <x:f>IF('Sales'!I25=0,0,O75*'Sales'!I27/'Sales'!I25)</x:f>
        <x:v>11904.560124228936</x:v>
      </x:c>
      <x:c r="P115" s="52" t="n">
        <x:f>IF('Sales'!I25=0,0,P75*'Sales'!I27/'Sales'!I25)</x:f>
        <x:v>11904.560124228936</x:v>
      </x:c>
      <x:c r="Q115" s="52" t="n">
        <x:f>IF('Sales'!I25=0,0,Q75*'Sales'!I27/'Sales'!I25)</x:f>
        <x:v>12643.713020349298</x:v>
      </x:c>
      <x:c r="R115" s="52" t="n">
        <x:f>IF('Sales'!I25=0,0,R75*'Sales'!I27/'Sales'!I25)</x:f>
        <x:v>12643.713020349298</x:v>
      </x:c>
      <x:c r="S115" s="52" t="n">
        <x:f>IF('Sales'!I25=0,0,S75*'Sales'!I27/'Sales'!I25)</x:f>
        <x:v>12643.713020349298</x:v>
      </x:c>
      <x:c r="T115" s="52" t="n">
        <x:f>IF('Sales'!I25=0,0,T75*'Sales'!I27/'Sales'!I25)</x:f>
        <x:v>12643.713020349298</x:v>
      </x:c>
    </x:row>
    <x:row r="116" ht="25" customHeight="1">
      <x:c r="A116" s="2"/>
      <x:c r="B116" s="2"/>
      <x:c r="C116" s="32" t="str">
        <x:v>Activated Q2:28</x:v>
      </x:c>
      <x:c r="D116" s="3" t="n">
        <x:f>0</x:f>
        <x:v>0</x:v>
      </x:c>
      <x:c r="E116" s="3" t="n">
        <x:f>0</x:f>
        <x:v>0</x:v>
      </x:c>
      <x:c r="F116" s="3" t="n">
        <x:f>0</x:f>
        <x:v>0</x:v>
      </x:c>
      <x:c r="G116" s="3" t="n">
        <x:f>0</x:f>
        <x:v>0</x:v>
      </x:c>
      <x:c r="H116" s="3" t="n">
        <x:f>0</x:f>
        <x:v>0</x:v>
      </x:c>
      <x:c r="I116" s="3" t="n">
        <x:f>0</x:f>
        <x:v>0</x:v>
      </x:c>
      <x:c r="J116" s="52" t="n">
        <x:f>IF('Sales'!J25=0,0,J76*'Sales'!J27/'Sales'!J25)</x:f>
        <x:v>18033.21973880687</x:v>
      </x:c>
      <x:c r="K116" s="52" t="n">
        <x:f>IF('Sales'!J25=0,0,K76*'Sales'!J27/'Sales'!J25)</x:f>
        <x:v>18033.21973880687</x:v>
      </x:c>
      <x:c r="L116" s="52" t="n">
        <x:f>IF('Sales'!J25=0,0,L76*'Sales'!J27/'Sales'!J25)</x:f>
        <x:v>18033.21973880687</x:v>
      </x:c>
      <x:c r="M116" s="52" t="n">
        <x:f>IF('Sales'!J25=0,0,M76*'Sales'!J27/'Sales'!J25)</x:f>
        <x:v>18033.21973880687</x:v>
      </x:c>
      <x:c r="N116" s="52" t="n">
        <x:f>IF('Sales'!J25=0,0,N76*'Sales'!J27/'Sales'!J25)</x:f>
        <x:v>20559.767649235026</x:v>
      </x:c>
      <x:c r="O116" s="52" t="n">
        <x:f>IF('Sales'!J25=0,0,O76*'Sales'!J27/'Sales'!J25)</x:f>
        <x:v>20559.767649235026</x:v>
      </x:c>
      <x:c r="P116" s="52" t="n">
        <x:f>IF('Sales'!J25=0,0,P76*'Sales'!J27/'Sales'!J25)</x:f>
        <x:v>20559.767649235026</x:v>
      </x:c>
      <x:c r="Q116" s="52" t="n">
        <x:f>IF('Sales'!J25=0,0,Q76*'Sales'!J27/'Sales'!J25)</x:f>
        <x:v>20559.767649235026</x:v>
      </x:c>
      <x:c r="R116" s="52" t="n">
        <x:f>IF('Sales'!J25=0,0,R76*'Sales'!J27/'Sales'!J25)</x:f>
        <x:v>21836.3214775923</x:v>
      </x:c>
      <x:c r="S116" s="52" t="n">
        <x:f>IF('Sales'!J25=0,0,S76*'Sales'!J27/'Sales'!J25)</x:f>
        <x:v>21836.3214775923</x:v>
      </x:c>
      <x:c r="T116" s="52" t="n">
        <x:f>IF('Sales'!J25=0,0,T76*'Sales'!J27/'Sales'!J25)</x:f>
        <x:v>21836.3214775923</x:v>
      </x:c>
    </x:row>
    <x:row r="117" ht="25" customHeight="1">
      <x:c r="A117" s="2"/>
      <x:c r="B117" s="2"/>
      <x:c r="C117" s="32" t="str">
        <x:v>Activated Q3:28</x:v>
      </x:c>
      <x:c r="D117" s="3" t="n">
        <x:f>0</x:f>
        <x:v>0</x:v>
      </x:c>
      <x:c r="E117" s="3" t="n">
        <x:f>0</x:f>
        <x:v>0</x:v>
      </x:c>
      <x:c r="F117" s="3" t="n">
        <x:f>0</x:f>
        <x:v>0</x:v>
      </x:c>
      <x:c r="G117" s="3" t="n">
        <x:f>0</x:f>
        <x:v>0</x:v>
      </x:c>
      <x:c r="H117" s="3" t="n">
        <x:f>0</x:f>
        <x:v>0</x:v>
      </x:c>
      <x:c r="I117" s="3" t="n">
        <x:f>0</x:f>
        <x:v>0</x:v>
      </x:c>
      <x:c r="J117" s="3" t="n">
        <x:f>0</x:f>
        <x:v>0</x:v>
      </x:c>
      <x:c r="K117" s="52" t="n">
        <x:f>IF('Sales'!K25=0,0,K77*'Sales'!K27/'Sales'!K25)</x:f>
        <x:v>27340.68799109429</x:v>
      </x:c>
      <x:c r="L117" s="52" t="n">
        <x:f>IF('Sales'!K25=0,0,L77*'Sales'!K27/'Sales'!K25)</x:f>
        <x:v>27340.68799109429</x:v>
      </x:c>
      <x:c r="M117" s="52" t="n">
        <x:f>IF('Sales'!K25=0,0,M77*'Sales'!K27/'Sales'!K25)</x:f>
        <x:v>27340.68799109429</x:v>
      </x:c>
      <x:c r="N117" s="52" t="n">
        <x:f>IF('Sales'!K25=0,0,N77*'Sales'!K27/'Sales'!K25)</x:f>
        <x:v>27340.68799109429</x:v>
      </x:c>
      <x:c r="O117" s="52" t="n">
        <x:f>IF('Sales'!K25=0,0,O77*'Sales'!K27/'Sales'!K25)</x:f>
        <x:v>31171.260629485365</x:v>
      </x:c>
      <x:c r="P117" s="52" t="n">
        <x:f>IF('Sales'!K25=0,0,P77*'Sales'!K27/'Sales'!K25)</x:f>
        <x:v>31171.260629485365</x:v>
      </x:c>
      <x:c r="Q117" s="52" t="n">
        <x:f>IF('Sales'!K25=0,0,Q77*'Sales'!K27/'Sales'!K25)</x:f>
        <x:v>31171.260629485365</x:v>
      </x:c>
      <x:c r="R117" s="52" t="n">
        <x:f>IF('Sales'!K25=0,0,R77*'Sales'!K27/'Sales'!K25)</x:f>
        <x:v>31171.260629485365</x:v>
      </x:c>
      <x:c r="S117" s="52" t="n">
        <x:f>IF('Sales'!K25=0,0,S77*'Sales'!K27/'Sales'!K25)</x:f>
        <x:v>33106.68094989801</x:v>
      </x:c>
      <x:c r="T117" s="52" t="n">
        <x:f>IF('Sales'!K25=0,0,T77*'Sales'!K27/'Sales'!K25)</x:f>
        <x:v>33106.68094989801</x:v>
      </x:c>
    </x:row>
    <x:row r="118" ht="25" customHeight="1">
      <x:c r="A118" s="2"/>
      <x:c r="B118" s="2"/>
      <x:c r="C118" s="32" t="str">
        <x:v>Activated Q4:28</x:v>
      </x:c>
      <x:c r="D118" s="3" t="n">
        <x:f>0</x:f>
        <x:v>0</x:v>
      </x:c>
      <x:c r="E118" s="3" t="n">
        <x:f>0</x:f>
        <x:v>0</x:v>
      </x:c>
      <x:c r="F118" s="3" t="n">
        <x:f>0</x:f>
        <x:v>0</x:v>
      </x:c>
      <x:c r="G118" s="3" t="n">
        <x:f>0</x:f>
        <x:v>0</x:v>
      </x:c>
      <x:c r="H118" s="3" t="n">
        <x:f>0</x:f>
        <x:v>0</x:v>
      </x:c>
      <x:c r="I118" s="3" t="n">
        <x:f>0</x:f>
        <x:v>0</x:v>
      </x:c>
      <x:c r="J118" s="3" t="n">
        <x:f>0</x:f>
        <x:v>0</x:v>
      </x:c>
      <x:c r="K118" s="3" t="n">
        <x:f>0</x:f>
        <x:v>0</x:v>
      </x:c>
      <x:c r="L118" s="52" t="n">
        <x:f>IF('Sales'!L25=0,0,L78*'Sales'!L27/'Sales'!L25)</x:f>
        <x:v>38413.41081277101</x:v>
      </x:c>
      <x:c r="M118" s="52" t="n">
        <x:f>IF('Sales'!L25=0,0,M78*'Sales'!L27/'Sales'!L25)</x:f>
        <x:v>38413.41081277101</x:v>
      </x:c>
      <x:c r="N118" s="52" t="n">
        <x:f>IF('Sales'!L25=0,0,N78*'Sales'!L27/'Sales'!L25)</x:f>
        <x:v>38413.41081277101</x:v>
      </x:c>
      <x:c r="O118" s="52" t="n">
        <x:f>IF('Sales'!L25=0,0,O78*'Sales'!L27/'Sales'!L25)</x:f>
        <x:v>38413.41081277101</x:v>
      </x:c>
      <x:c r="P118" s="52" t="n">
        <x:f>IF('Sales'!L25=0,0,P78*'Sales'!L27/'Sales'!L25)</x:f>
        <x:v>43795.32952873771</x:v>
      </x:c>
      <x:c r="Q118" s="52" t="n">
        <x:f>IF('Sales'!L25=0,0,Q78*'Sales'!L27/'Sales'!L25)</x:f>
        <x:v>43795.32952873771</x:v>
      </x:c>
      <x:c r="R118" s="52" t="n">
        <x:f>IF('Sales'!L25=0,0,R78*'Sales'!L27/'Sales'!L25)</x:f>
        <x:v>43795.32952873771</x:v>
      </x:c>
      <x:c r="S118" s="52" t="n">
        <x:f>IF('Sales'!L25=0,0,S78*'Sales'!L27/'Sales'!L25)</x:f>
        <x:v>43795.32952873771</x:v>
      </x:c>
      <x:c r="T118" s="52" t="n">
        <x:f>IF('Sales'!L25=0,0,T78*'Sales'!L27/'Sales'!L25)</x:f>
        <x:v>46514.57697004615</x:v>
      </x:c>
    </x:row>
    <x:row r="119" ht="25" customHeight="1">
      <x:c r="A119" s="2"/>
      <x:c r="B119" s="2"/>
      <x:c r="C119" s="32" t="str">
        <x:v>Activated Q1:29</x:v>
      </x:c>
      <x:c r="D119" s="3" t="n">
        <x:f>0</x:f>
        <x:v>0</x:v>
      </x:c>
      <x:c r="E119" s="3" t="n">
        <x:f>0</x:f>
        <x:v>0</x:v>
      </x:c>
      <x:c r="F119" s="3" t="n">
        <x:f>0</x:f>
        <x:v>0</x:v>
      </x:c>
      <x:c r="G119" s="3" t="n">
        <x:f>0</x:f>
        <x:v>0</x:v>
      </x:c>
      <x:c r="H119" s="3" t="n">
        <x:f>0</x:f>
        <x:v>0</x:v>
      </x:c>
      <x:c r="I119" s="3" t="n">
        <x:f>0</x:f>
        <x:v>0</x:v>
      </x:c>
      <x:c r="J119" s="3" t="n">
        <x:f>0</x:f>
        <x:v>0</x:v>
      </x:c>
      <x:c r="K119" s="3" t="n">
        <x:f>0</x:f>
        <x:v>0</x:v>
      </x:c>
      <x:c r="L119" s="3" t="n">
        <x:f>0</x:f>
        <x:v>0</x:v>
      </x:c>
      <x:c r="M119" s="52" t="n">
        <x:f>IF('Sales'!M25=0,0,M79*'Sales'!M27/'Sales'!M25)</x:f>
        <x:v>64612.8581163455</x:v>
      </x:c>
      <x:c r="N119" s="52" t="n">
        <x:f>IF('Sales'!M25=0,0,N79*'Sales'!M27/'Sales'!M25)</x:f>
        <x:v>64612.8581163455</x:v>
      </x:c>
      <x:c r="O119" s="52" t="n">
        <x:f>IF('Sales'!M25=0,0,O79*'Sales'!M27/'Sales'!M25)</x:f>
        <x:v>64612.8581163455</x:v>
      </x:c>
      <x:c r="P119" s="52" t="n">
        <x:f>IF('Sales'!M25=0,0,P79*'Sales'!M27/'Sales'!M25)</x:f>
        <x:v>64612.8581163455</x:v>
      </x:c>
      <x:c r="Q119" s="52" t="n">
        <x:f>IF('Sales'!M25=0,0,Q79*'Sales'!M27/'Sales'!M25)</x:f>
        <x:v>73601.249725057</x:v>
      </x:c>
      <x:c r="R119" s="52" t="n">
        <x:f>IF('Sales'!M25=0,0,R79*'Sales'!M27/'Sales'!M25)</x:f>
        <x:v>73601.249725057</x:v>
      </x:c>
      <x:c r="S119" s="52" t="n">
        <x:f>IF('Sales'!M25=0,0,S79*'Sales'!M27/'Sales'!M25)</x:f>
        <x:v>73601.249725057</x:v>
      </x:c>
      <x:c r="T119" s="52" t="n">
        <x:f>IF('Sales'!M25=0,0,T79*'Sales'!M27/'Sales'!M25)</x:f>
        <x:v>73601.249725057</x:v>
      </x:c>
    </x:row>
    <x:row r="120" ht="25" customHeight="1">
      <x:c r="A120" s="2"/>
      <x:c r="B120" s="2"/>
      <x:c r="C120" s="32" t="str">
        <x:v>Activated Q2:29</x:v>
      </x:c>
      <x:c r="D120" s="3" t="n">
        <x:f>0</x:f>
        <x:v>0</x:v>
      </x:c>
      <x:c r="E120" s="3" t="n">
        <x:f>0</x:f>
        <x:v>0</x:v>
      </x:c>
      <x:c r="F120" s="3" t="n">
        <x:f>0</x:f>
        <x:v>0</x:v>
      </x:c>
      <x:c r="G120" s="3" t="n">
        <x:f>0</x:f>
        <x:v>0</x:v>
      </x:c>
      <x:c r="H120" s="3" t="n">
        <x:f>0</x:f>
        <x:v>0</x:v>
      </x:c>
      <x:c r="I120" s="3" t="n">
        <x:f>0</x:f>
        <x:v>0</x:v>
      </x:c>
      <x:c r="J120" s="3" t="n">
        <x:f>0</x:f>
        <x:v>0</x:v>
      </x:c>
      <x:c r="K120" s="3" t="n">
        <x:f>0</x:f>
        <x:v>0</x:v>
      </x:c>
      <x:c r="L120" s="3" t="n">
        <x:f>0</x:f>
        <x:v>0</x:v>
      </x:c>
      <x:c r="M120" s="3" t="n">
        <x:f>0</x:f>
        <x:v>0</x:v>
      </x:c>
      <x:c r="N120" s="52" t="n">
        <x:f>IF('Sales'!N25=0,0,N80*'Sales'!N27/'Sales'!N25)</x:f>
        <x:v>107294.42568609108</x:v>
      </x:c>
      <x:c r="O120" s="52" t="n">
        <x:f>IF('Sales'!N25=0,0,O80*'Sales'!N27/'Sales'!N25)</x:f>
        <x:v>107294.42568609108</x:v>
      </x:c>
      <x:c r="P120" s="52" t="n">
        <x:f>IF('Sales'!N25=0,0,P80*'Sales'!N27/'Sales'!N25)</x:f>
        <x:v>107294.42568609108</x:v>
      </x:c>
      <x:c r="Q120" s="52" t="n">
        <x:f>IF('Sales'!N25=0,0,Q80*'Sales'!N27/'Sales'!N25)</x:f>
        <x:v>107294.42568609108</x:v>
      </x:c>
      <x:c r="R120" s="52" t="n">
        <x:f>IF('Sales'!N25=0,0,R80*'Sales'!N27/'Sales'!N25)</x:f>
        <x:v>122220.3141797067</x:v>
      </x:c>
      <x:c r="S120" s="52" t="n">
        <x:f>IF('Sales'!N25=0,0,S80*'Sales'!N27/'Sales'!N25)</x:f>
        <x:v>122220.3141797067</x:v>
      </x:c>
      <x:c r="T120" s="52" t="n">
        <x:f>IF('Sales'!N25=0,0,T80*'Sales'!N27/'Sales'!N25)</x:f>
        <x:v>122220.3141797067</x:v>
      </x:c>
    </x:row>
    <x:row r="121" ht="25" customHeight="1">
      <x:c r="A121" s="2"/>
      <x:c r="B121" s="2"/>
      <x:c r="C121" s="32" t="str">
        <x:v>Activated Q3:29</x:v>
      </x:c>
      <x:c r="D121" s="3" t="n">
        <x:f>0</x:f>
        <x:v>0</x:v>
      </x:c>
      <x:c r="E121" s="3" t="n">
        <x:f>0</x:f>
        <x:v>0</x:v>
      </x:c>
      <x:c r="F121" s="3" t="n">
        <x:f>0</x:f>
        <x:v>0</x:v>
      </x:c>
      <x:c r="G121" s="3" t="n">
        <x:f>0</x:f>
        <x:v>0</x:v>
      </x:c>
      <x:c r="H121" s="3" t="n">
        <x:f>0</x:f>
        <x:v>0</x:v>
      </x:c>
      <x:c r="I121" s="3" t="n">
        <x:f>0</x:f>
        <x:v>0</x:v>
      </x:c>
      <x:c r="J121" s="3" t="n">
        <x:f>0</x:f>
        <x:v>0</x:v>
      </x:c>
      <x:c r="K121" s="3" t="n">
        <x:f>0</x:f>
        <x:v>0</x:v>
      </x:c>
      <x:c r="L121" s="3" t="n">
        <x:f>0</x:f>
        <x:v>0</x:v>
      </x:c>
      <x:c r="M121" s="3" t="n">
        <x:f>0</x:f>
        <x:v>0</x:v>
      </x:c>
      <x:c r="N121" s="3" t="n">
        <x:f>0</x:f>
        <x:v>0</x:v>
      </x:c>
      <x:c r="O121" s="52" t="n">
        <x:f>IF('Sales'!O25=0,0,O81*'Sales'!O27/'Sales'!O25)</x:f>
        <x:v>146937.34601990785</x:v>
      </x:c>
      <x:c r="P121" s="52" t="n">
        <x:f>IF('Sales'!O25=0,0,P81*'Sales'!O27/'Sales'!O25)</x:f>
        <x:v>146937.34601990785</x:v>
      </x:c>
      <x:c r="Q121" s="52" t="n">
        <x:f>IF('Sales'!O25=0,0,Q81*'Sales'!O27/'Sales'!O25)</x:f>
        <x:v>146937.34601990785</x:v>
      </x:c>
      <x:c r="R121" s="52" t="n">
        <x:f>IF('Sales'!O25=0,0,R81*'Sales'!O27/'Sales'!O25)</x:f>
        <x:v>146937.34601990785</x:v>
      </x:c>
      <x:c r="S121" s="52" t="n">
        <x:f>IF('Sales'!O25=0,0,S81*'Sales'!O27/'Sales'!O25)</x:f>
        <x:v>167378.02062361437</x:v>
      </x:c>
      <x:c r="T121" s="52" t="n">
        <x:f>IF('Sales'!O25=0,0,T81*'Sales'!O27/'Sales'!O25)</x:f>
        <x:v>167378.02062361437</x:v>
      </x:c>
    </x:row>
    <x:row r="122" ht="25" customHeight="1">
      <x:c r="A122" s="2"/>
      <x:c r="B122" s="2"/>
      <x:c r="C122" s="32" t="str">
        <x:v>Activated Q4:29</x:v>
      </x:c>
      <x:c r="D122" s="3" t="n">
        <x:f>0</x:f>
        <x:v>0</x:v>
      </x:c>
      <x:c r="E122" s="3" t="n">
        <x:f>0</x:f>
        <x:v>0</x:v>
      </x:c>
      <x:c r="F122" s="3" t="n">
        <x:f>0</x:f>
        <x:v>0</x:v>
      </x:c>
      <x:c r="G122" s="3" t="n">
        <x:f>0</x:f>
        <x:v>0</x:v>
      </x:c>
      <x:c r="H122" s="3" t="n">
        <x:f>0</x:f>
        <x:v>0</x:v>
      </x:c>
      <x:c r="I122" s="3" t="n">
        <x:f>0</x:f>
        <x:v>0</x:v>
      </x:c>
      <x:c r="J122" s="3" t="n">
        <x:f>0</x:f>
        <x:v>0</x:v>
      </x:c>
      <x:c r="K122" s="3" t="n">
        <x:f>0</x:f>
        <x:v>0</x:v>
      </x:c>
      <x:c r="L122" s="3" t="n">
        <x:f>0</x:f>
        <x:v>0</x:v>
      </x:c>
      <x:c r="M122" s="3" t="n">
        <x:f>0</x:f>
        <x:v>0</x:v>
      </x:c>
      <x:c r="N122" s="3" t="n">
        <x:f>0</x:f>
        <x:v>0</x:v>
      </x:c>
      <x:c r="O122" s="3" t="n">
        <x:f>0</x:f>
        <x:v>0</x:v>
      </x:c>
      <x:c r="P122" s="52" t="n">
        <x:f>IF('Sales'!P25=0,0,P82*'Sales'!P27/'Sales'!P25)</x:f>
        <x:v>205539.9239046805</x:v>
      </x:c>
      <x:c r="Q122" s="52" t="n">
        <x:f>IF('Sales'!P25=0,0,Q82*'Sales'!P27/'Sales'!P25)</x:f>
        <x:v>205539.9239046805</x:v>
      </x:c>
      <x:c r="R122" s="52" t="n">
        <x:f>IF('Sales'!P25=0,0,R82*'Sales'!P27/'Sales'!P25)</x:f>
        <x:v>205539.9239046805</x:v>
      </x:c>
      <x:c r="S122" s="52" t="n">
        <x:f>IF('Sales'!P25=0,0,S82*'Sales'!P27/'Sales'!P25)</x:f>
        <x:v>205539.9239046805</x:v>
      </x:c>
      <x:c r="T122" s="52" t="n">
        <x:f>IF('Sales'!P25=0,0,T82*'Sales'!P27/'Sales'!P25)</x:f>
        <x:v>234132.8910189562</x:v>
      </x:c>
    </x:row>
    <x:row r="123" ht="25" customHeight="1">
      <x:c r="A123" s="2"/>
      <x:c r="B123" s="2"/>
      <x:c r="C123" s="32" t="str">
        <x:v>Activated Q1:30</x:v>
      </x:c>
      <x:c r="D123" s="3" t="n">
        <x:f>0</x:f>
        <x:v>0</x:v>
      </x:c>
      <x:c r="E123" s="3" t="n">
        <x:f>0</x:f>
        <x:v>0</x:v>
      </x:c>
      <x:c r="F123" s="3" t="n">
        <x:f>0</x:f>
        <x:v>0</x:v>
      </x:c>
      <x:c r="G123" s="3" t="n">
        <x:f>0</x:f>
        <x:v>0</x:v>
      </x:c>
      <x:c r="H123" s="3" t="n">
        <x:f>0</x:f>
        <x:v>0</x:v>
      </x:c>
      <x:c r="I123" s="3" t="n">
        <x:f>0</x:f>
        <x:v>0</x:v>
      </x:c>
      <x:c r="J123" s="3" t="n">
        <x:f>0</x:f>
        <x:v>0</x:v>
      </x:c>
      <x:c r="K123" s="3" t="n">
        <x:f>0</x:f>
        <x:v>0</x:v>
      </x:c>
      <x:c r="L123" s="3" t="n">
        <x:f>0</x:f>
        <x:v>0</x:v>
      </x:c>
      <x:c r="M123" s="3" t="n">
        <x:f>0</x:f>
        <x:v>0</x:v>
      </x:c>
      <x:c r="N123" s="3" t="n">
        <x:f>0</x:f>
        <x:v>0</x:v>
      </x:c>
      <x:c r="O123" s="3" t="n">
        <x:f>0</x:f>
        <x:v>0</x:v>
      </x:c>
      <x:c r="P123" s="3" t="n">
        <x:f>0</x:f>
        <x:v>0</x:v>
      </x:c>
      <x:c r="Q123" s="52" t="n">
        <x:f>IF('Sales'!Q25=0,0,Q83*'Sales'!Q27/'Sales'!Q25)</x:f>
        <x:v>318475.69259206613</x:v>
      </x:c>
      <x:c r="R123" s="52" t="n">
        <x:f>IF('Sales'!Q25=0,0,R83*'Sales'!Q27/'Sales'!Q25)</x:f>
        <x:v>318475.69259206613</x:v>
      </x:c>
      <x:c r="S123" s="52" t="n">
        <x:f>IF('Sales'!Q25=0,0,S83*'Sales'!Q27/'Sales'!Q25)</x:f>
        <x:v>318475.69259206613</x:v>
      </x:c>
      <x:c r="T123" s="52" t="n">
        <x:f>IF('Sales'!Q25=0,0,T83*'Sales'!Q27/'Sales'!Q25)</x:f>
        <x:v>318475.69259206613</x:v>
      </x:c>
    </x:row>
    <x:row r="124" ht="25" customHeight="1">
      <x:c r="A124" s="2"/>
      <x:c r="B124" s="2"/>
      <x:c r="C124" s="32" t="str">
        <x:v>Activated Q2:30</x:v>
      </x:c>
      <x:c r="D124" s="3" t="n">
        <x:f>0</x:f>
        <x:v>0</x:v>
      </x:c>
      <x:c r="E124" s="3" t="n">
        <x:f>0</x:f>
        <x:v>0</x:v>
      </x:c>
      <x:c r="F124" s="3" t="n">
        <x:f>0</x:f>
        <x:v>0</x:v>
      </x:c>
      <x:c r="G124" s="3" t="n">
        <x:f>0</x:f>
        <x:v>0</x:v>
      </x:c>
      <x:c r="H124" s="3" t="n">
        <x:f>0</x:f>
        <x:v>0</x:v>
      </x:c>
      <x:c r="I124" s="3" t="n">
        <x:f>0</x:f>
        <x:v>0</x:v>
      </x:c>
      <x:c r="J124" s="3" t="n">
        <x:f>0</x:f>
        <x:v>0</x:v>
      </x:c>
      <x:c r="K124" s="3" t="n">
        <x:f>0</x:f>
        <x:v>0</x:v>
      </x:c>
      <x:c r="L124" s="3" t="n">
        <x:f>0</x:f>
        <x:v>0</x:v>
      </x:c>
      <x:c r="M124" s="3" t="n">
        <x:f>0</x:f>
        <x:v>0</x:v>
      </x:c>
      <x:c r="N124" s="3" t="n">
        <x:f>0</x:f>
        <x:v>0</x:v>
      </x:c>
      <x:c r="O124" s="3" t="n">
        <x:f>0</x:f>
        <x:v>0</x:v>
      </x:c>
      <x:c r="P124" s="3" t="n">
        <x:f>0</x:f>
        <x:v>0</x:v>
      </x:c>
      <x:c r="Q124" s="3" t="n">
        <x:f>0</x:f>
        <x:v>0</x:v>
      </x:c>
      <x:c r="R124" s="52" t="n">
        <x:f>IF('Sales'!R25=0,0,R84*'Sales'!R27/'Sales'!R25)</x:f>
        <x:v>491611.1323250297</x:v>
      </x:c>
      <x:c r="S124" s="52" t="n">
        <x:f>IF('Sales'!R25=0,0,S84*'Sales'!R27/'Sales'!R25)</x:f>
        <x:v>491611.1323250297</x:v>
      </x:c>
      <x:c r="T124" s="52" t="n">
        <x:f>IF('Sales'!R25=0,0,T84*'Sales'!R27/'Sales'!R25)</x:f>
        <x:v>491611.1323250297</x:v>
      </x:c>
    </x:row>
    <x:row r="125" ht="25" customHeight="1">
      <x:c r="A125" s="2"/>
      <x:c r="B125" s="2"/>
      <x:c r="C125" s="32" t="str">
        <x:v>Activated Q3:30</x:v>
      </x:c>
      <x:c r="D125" s="3" t="n">
        <x:f>0</x:f>
        <x:v>0</x:v>
      </x:c>
      <x:c r="E125" s="3" t="n">
        <x:f>0</x:f>
        <x:v>0</x:v>
      </x:c>
      <x:c r="F125" s="3" t="n">
        <x:f>0</x:f>
        <x:v>0</x:v>
      </x:c>
      <x:c r="G125" s="3" t="n">
        <x:f>0</x:f>
        <x:v>0</x:v>
      </x:c>
      <x:c r="H125" s="3" t="n">
        <x:f>0</x:f>
        <x:v>0</x:v>
      </x:c>
      <x:c r="I125" s="3" t="n">
        <x:f>0</x:f>
        <x:v>0</x:v>
      </x:c>
      <x:c r="J125" s="3" t="n">
        <x:f>0</x:f>
        <x:v>0</x:v>
      </x:c>
      <x:c r="K125" s="3" t="n">
        <x:f>0</x:f>
        <x:v>0</x:v>
      </x:c>
      <x:c r="L125" s="3" t="n">
        <x:f>0</x:f>
        <x:v>0</x:v>
      </x:c>
      <x:c r="M125" s="3" t="n">
        <x:f>0</x:f>
        <x:v>0</x:v>
      </x:c>
      <x:c r="N125" s="3" t="n">
        <x:f>0</x:f>
        <x:v>0</x:v>
      </x:c>
      <x:c r="O125" s="3" t="n">
        <x:f>0</x:f>
        <x:v>0</x:v>
      </x:c>
      <x:c r="P125" s="3" t="n">
        <x:f>0</x:f>
        <x:v>0</x:v>
      </x:c>
      <x:c r="Q125" s="3" t="n">
        <x:f>0</x:f>
        <x:v>0</x:v>
      </x:c>
      <x:c r="R125" s="3" t="n">
        <x:f>0</x:f>
        <x:v>0</x:v>
      </x:c>
      <x:c r="S125" s="52" t="n">
        <x:f>IF('Sales'!S25=0,0,S85*'Sales'!S27/'Sales'!S25)</x:f>
        <x:v>571212.9598433196</x:v>
      </x:c>
      <x:c r="T125" s="52" t="n">
        <x:f>IF('Sales'!S25=0,0,T85*'Sales'!S27/'Sales'!S25)</x:f>
        <x:v>571212.9598433196</x:v>
      </x:c>
    </x:row>
    <x:row r="126" ht="25" customHeight="1">
      <x:c r="A126" s="2"/>
      <x:c r="B126" s="2"/>
      <x:c r="C126" s="32" t="str">
        <x:v>Activated Q4:30</x:v>
      </x:c>
      <x:c r="D126" s="3" t="n">
        <x:f>0</x:f>
        <x:v>0</x:v>
      </x:c>
      <x:c r="E126" s="3" t="n">
        <x:f>0</x:f>
        <x:v>0</x:v>
      </x:c>
      <x:c r="F126" s="3" t="n">
        <x:f>0</x:f>
        <x:v>0</x:v>
      </x:c>
      <x:c r="G126" s="3" t="n">
        <x:f>0</x:f>
        <x:v>0</x:v>
      </x:c>
      <x:c r="H126" s="3" t="n">
        <x:f>0</x:f>
        <x:v>0</x:v>
      </x:c>
      <x:c r="I126" s="3" t="n">
        <x:f>0</x:f>
        <x:v>0</x:v>
      </x:c>
      <x:c r="J126" s="3" t="n">
        <x:f>0</x:f>
        <x:v>0</x:v>
      </x:c>
      <x:c r="K126" s="3" t="n">
        <x:f>0</x:f>
        <x:v>0</x:v>
      </x:c>
      <x:c r="L126" s="3" t="n">
        <x:f>0</x:f>
        <x:v>0</x:v>
      </x:c>
      <x:c r="M126" s="3" t="n">
        <x:f>0</x:f>
        <x:v>0</x:v>
      </x:c>
      <x:c r="N126" s="3" t="n">
        <x:f>0</x:f>
        <x:v>0</x:v>
      </x:c>
      <x:c r="O126" s="3" t="n">
        <x:f>0</x:f>
        <x:v>0</x:v>
      </x:c>
      <x:c r="P126" s="3" t="n">
        <x:f>0</x:f>
        <x:v>0</x:v>
      </x:c>
      <x:c r="Q126" s="3" t="n">
        <x:f>0</x:f>
        <x:v>0</x:v>
      </x:c>
      <x:c r="R126" s="3" t="n">
        <x:f>0</x:f>
        <x:v>0</x:v>
      </x:c>
      <x:c r="S126" s="3" t="n">
        <x:f>0</x:f>
        <x:v>0</x:v>
      </x:c>
      <x:c r="T126" s="52" t="n">
        <x:f>IF('Sales'!T25=0,0,T86*'Sales'!T27/'Sales'!T25)</x:f>
        <x:v>577088.89316948</x:v>
      </x:c>
    </x:row>
    <x:row r="127" ht="25" customHeight="1">
      <x:c r="A127" s="2"/>
      <x:c r="B127" s="2"/>
      <x:c r="C127" s="32"/>
      <x:c r="D127" s="3"/>
      <x:c r="E127" s="3"/>
      <x:c r="F127" s="3"/>
      <x:c r="G127" s="3"/>
      <x:c r="H127" s="3"/>
      <x:c r="I127" s="3"/>
      <x:c r="J127" s="3"/>
      <x:c r="K127" s="3"/>
      <x:c r="L127" s="3"/>
      <x:c r="M127" s="3"/>
      <x:c r="N127" s="3"/>
      <x:c r="O127" s="3"/>
      <x:c r="P127" s="3"/>
      <x:c r="Q127" s="3"/>
      <x:c r="R127" s="3"/>
      <x:c r="S127" s="3"/>
      <x:c r="T127" s="3"/>
    </x:row>
    <x:row r="128" ht="25" customHeight="1">
      <x:c r="A128" s="2"/>
      <x:c r="B128" s="2"/>
      <x:c r="C128" s="32"/>
      <x:c r="D128" s="3"/>
      <x:c r="E128" s="3"/>
      <x:c r="F128" s="3"/>
      <x:c r="G128" s="3"/>
      <x:c r="H128" s="3"/>
      <x:c r="I128" s="3"/>
      <x:c r="J128" s="3"/>
      <x:c r="K128" s="3"/>
      <x:c r="L128" s="3"/>
      <x:c r="M128" s="3"/>
      <x:c r="N128" s="3"/>
      <x:c r="O128" s="3"/>
      <x:c r="P128" s="3"/>
      <x:c r="Q128" s="3"/>
      <x:c r="R128" s="3"/>
      <x:c r="S128" s="3"/>
      <x:c r="T128" s="3"/>
    </x:row>
    <x:row r="129" ht="27" customHeight="1">
      <x:c r="A129" s="2"/>
      <x:c r="B129" s="2"/>
      <x:c r="C129" s="61" t="str">
        <x:v>Recurring technical cost by cohort, EUR</x:v>
      </x:c>
      <x:c r="D129" s="15"/>
      <x:c r="E129" s="15"/>
      <x:c r="F129" s="15"/>
      <x:c r="G129" s="15"/>
      <x:c r="H129" s="15"/>
      <x:c r="I129" s="15"/>
      <x:c r="J129" s="15"/>
      <x:c r="K129" s="15"/>
      <x:c r="L129" s="15"/>
      <x:c r="M129" s="15"/>
      <x:c r="N129" s="15"/>
      <x:c r="O129" s="15"/>
      <x:c r="P129" s="15"/>
      <x:c r="Q129" s="15"/>
      <x:c r="R129" s="15"/>
      <x:c r="S129" s="15"/>
      <x:c r="T129" s="15"/>
    </x:row>
    <x:row r="130" ht="25" customHeight="1">
      <x:c r="A130" s="2"/>
      <x:c r="B130" s="2"/>
      <x:c r="C130" s="32" t="str">
        <x:v>Activated Q4:26</x:v>
      </x:c>
      <x:c r="D130" s="52" t="n">
        <x:f>D30*('Pricing'!D34*('Pricing'!$D$43*'Compute'!D68+'Pricing'!$E$43*'Compute'!D69+'Pricing'!$F$43*'Compute'!D70)+'Compute'!D71)/4</x:f>
        <x:v>0</x:v>
      </x:c>
      <x:c r="E130" s="52" t="n">
        <x:f>E30*('Pricing'!D34*('Pricing'!$D$43*'Compute'!E68+'Pricing'!$E$43*'Compute'!E69+'Pricing'!$F$43*'Compute'!E70)+'Compute'!E71)/4</x:f>
        <x:v>0</x:v>
      </x:c>
      <x:c r="F130" s="52" t="n">
        <x:f>F30*('Pricing'!D34*('Pricing'!$D$43*'Compute'!E68+'Pricing'!$E$43*'Compute'!E69+'Pricing'!$F$43*'Compute'!E70)+'Compute'!E71)/4</x:f>
        <x:v>0</x:v>
      </x:c>
      <x:c r="G130" s="52" t="n">
        <x:f>G30*('Pricing'!D34*('Pricing'!$D$43*'Compute'!E68+'Pricing'!$E$43*'Compute'!E69+'Pricing'!$F$43*'Compute'!E70)+'Compute'!E71)/4</x:f>
        <x:v>0</x:v>
      </x:c>
      <x:c r="H130" s="52" t="n">
        <x:f>H30*('Pricing'!D34*('Pricing'!$D$44*'Compute'!E68+'Pricing'!$E$44*'Compute'!E69+'Pricing'!$F$44*'Compute'!E70)+'Compute'!E71)/4</x:f>
        <x:v>0</x:v>
      </x:c>
      <x:c r="I130" s="52" t="n">
        <x:f>I30*('Pricing'!D34*('Pricing'!$D$44*'Compute'!F68+'Pricing'!$E$44*'Compute'!F69+'Pricing'!$F$44*'Compute'!F70)+'Compute'!F71)/4</x:f>
        <x:v>0</x:v>
      </x:c>
      <x:c r="J130" s="52" t="n">
        <x:f>J30*('Pricing'!D34*('Pricing'!$D$44*'Compute'!F68+'Pricing'!$E$44*'Compute'!F69+'Pricing'!$F$44*'Compute'!F70)+'Compute'!F71)/4</x:f>
        <x:v>0</x:v>
      </x:c>
      <x:c r="K130" s="52" t="n">
        <x:f>K30*('Pricing'!D34*('Pricing'!$D$44*'Compute'!F68+'Pricing'!$E$44*'Compute'!F69+'Pricing'!$F$44*'Compute'!F70)+'Compute'!F71)/4</x:f>
        <x:v>0</x:v>
      </x:c>
      <x:c r="L130" s="52" t="n">
        <x:f>L30*('Pricing'!D34*('Pricing'!$D$45*'Compute'!F68+'Pricing'!$E$45*'Compute'!F69+'Pricing'!$F$45*'Compute'!F70)+'Compute'!F71)/4</x:f>
        <x:v>0</x:v>
      </x:c>
      <x:c r="M130" s="52" t="n">
        <x:f>M30*('Pricing'!D34*('Pricing'!$D$45*'Compute'!G68+'Pricing'!$E$45*'Compute'!G69+'Pricing'!$F$45*'Compute'!G70)+'Compute'!G71)/4</x:f>
        <x:v>0</x:v>
      </x:c>
      <x:c r="N130" s="52" t="n">
        <x:f>N30*('Pricing'!D34*('Pricing'!$D$45*'Compute'!G68+'Pricing'!$E$45*'Compute'!G69+'Pricing'!$F$45*'Compute'!G70)+'Compute'!G71)/4</x:f>
        <x:v>0</x:v>
      </x:c>
      <x:c r="O130" s="52" t="n">
        <x:f>O30*('Pricing'!D34*('Pricing'!$D$45*'Compute'!G68+'Pricing'!$E$45*'Compute'!G69+'Pricing'!$F$45*'Compute'!G70)+'Compute'!G71)/4</x:f>
        <x:v>0</x:v>
      </x:c>
      <x:c r="P130" s="52" t="n">
        <x:f>P30*('Pricing'!D34*('Pricing'!$D$46*'Compute'!G68+'Pricing'!$E$46*'Compute'!G69+'Pricing'!$F$46*'Compute'!G70)+'Compute'!G71)/4</x:f>
        <x:v>0</x:v>
      </x:c>
      <x:c r="Q130" s="52" t="n">
        <x:f>Q30*('Pricing'!D34*('Pricing'!$D$46*'Compute'!H68+'Pricing'!$E$46*'Compute'!H69+'Pricing'!$F$46*'Compute'!H70)+'Compute'!H71)/4</x:f>
        <x:v>0</x:v>
      </x:c>
      <x:c r="R130" s="52" t="n">
        <x:f>R30*('Pricing'!D34*('Pricing'!$D$46*'Compute'!H68+'Pricing'!$E$46*'Compute'!H69+'Pricing'!$F$46*'Compute'!H70)+'Compute'!H71)/4</x:f>
        <x:v>0</x:v>
      </x:c>
      <x:c r="S130" s="52" t="n">
        <x:f>S30*('Pricing'!D34*('Pricing'!$D$46*'Compute'!H68+'Pricing'!$E$46*'Compute'!H69+'Pricing'!$F$46*'Compute'!H70)+'Compute'!H71)/4</x:f>
        <x:v>0</x:v>
      </x:c>
      <x:c r="T130" s="52" t="n">
        <x:f>T30*('Pricing'!D34*('Pricing'!$D$46*'Compute'!H68+'Pricing'!$E$46*'Compute'!H69+'Pricing'!$F$46*'Compute'!H70)+'Compute'!H71)/4</x:f>
        <x:v>0</x:v>
      </x:c>
    </x:row>
    <x:row r="131" ht="25" customHeight="1">
      <x:c r="A131" s="2"/>
      <x:c r="B131" s="2"/>
      <x:c r="C131" s="32" t="str">
        <x:v>Activated Q1:27</x:v>
      </x:c>
      <x:c r="D131" s="3" t="n">
        <x:f>0</x:f>
        <x:v>0</x:v>
      </x:c>
      <x:c r="E131" s="52" t="n">
        <x:f>E31*('Pricing'!E34*('Pricing'!$D$43*'Compute'!E68+'Pricing'!$E$43*'Compute'!E69+'Pricing'!$F$43*'Compute'!E70)+'Compute'!E71)/4</x:f>
        <x:v>2069.79249225</x:v>
      </x:c>
      <x:c r="F131" s="52" t="n">
        <x:f>F31*('Pricing'!E34*('Pricing'!$D$43*'Compute'!E68+'Pricing'!$E$43*'Compute'!E69+'Pricing'!$F$43*'Compute'!E70)+'Compute'!E71)/4</x:f>
        <x:v>2069.79249225</x:v>
      </x:c>
      <x:c r="G131" s="52" t="n">
        <x:f>G31*('Pricing'!E34*('Pricing'!$D$43*'Compute'!E68+'Pricing'!$E$43*'Compute'!E69+'Pricing'!$F$43*'Compute'!E70)+'Compute'!E71)/4</x:f>
        <x:v>2069.79249225</x:v>
      </x:c>
      <x:c r="H131" s="52" t="n">
        <x:f>H31*('Pricing'!E34*('Pricing'!$D$43*'Compute'!E68+'Pricing'!$E$43*'Compute'!E69+'Pricing'!$F$43*'Compute'!E70)+'Compute'!E71)/4</x:f>
        <x:v>2069.79249225</x:v>
      </x:c>
      <x:c r="I131" s="52" t="n">
        <x:f>I31*('Pricing'!E34*('Pricing'!$D$44*'Compute'!F68+'Pricing'!$E$44*'Compute'!F69+'Pricing'!$F$44*'Compute'!F70)+'Compute'!F71)/4</x:f>
        <x:v>1990.8123202684283</x:v>
      </x:c>
      <x:c r="J131" s="52" t="n">
        <x:f>J31*('Pricing'!E34*('Pricing'!$D$44*'Compute'!F68+'Pricing'!$E$44*'Compute'!F69+'Pricing'!$F$44*'Compute'!F70)+'Compute'!F71)/4</x:f>
        <x:v>1990.8123202684283</x:v>
      </x:c>
      <x:c r="K131" s="52" t="n">
        <x:f>K31*('Pricing'!E34*('Pricing'!$D$44*'Compute'!F68+'Pricing'!$E$44*'Compute'!F69+'Pricing'!$F$44*'Compute'!F70)+'Compute'!F71)/4</x:f>
        <x:v>1990.8123202684283</x:v>
      </x:c>
      <x:c r="L131" s="52" t="n">
        <x:f>L31*('Pricing'!E34*('Pricing'!$D$44*'Compute'!F68+'Pricing'!$E$44*'Compute'!F69+'Pricing'!$F$44*'Compute'!F70)+'Compute'!F71)/4</x:f>
        <x:v>1990.8123202684283</x:v>
      </x:c>
      <x:c r="M131" s="52" t="n">
        <x:f>M31*('Pricing'!E34*('Pricing'!$D$45*'Compute'!G68+'Pricing'!$E$45*'Compute'!G69+'Pricing'!$F$45*'Compute'!G70)+'Compute'!G71)/4</x:f>
        <x:v>1957.4643404851718</x:v>
      </x:c>
      <x:c r="N131" s="52" t="n">
        <x:f>N31*('Pricing'!E34*('Pricing'!$D$45*'Compute'!G68+'Pricing'!$E$45*'Compute'!G69+'Pricing'!$F$45*'Compute'!G70)+'Compute'!G71)/4</x:f>
        <x:v>1957.4643404851718</x:v>
      </x:c>
      <x:c r="O131" s="52" t="n">
        <x:f>O31*('Pricing'!E34*('Pricing'!$D$45*'Compute'!G68+'Pricing'!$E$45*'Compute'!G69+'Pricing'!$F$45*'Compute'!G70)+'Compute'!G71)/4</x:f>
        <x:v>1957.4643404851718</x:v>
      </x:c>
      <x:c r="P131" s="52" t="n">
        <x:f>P31*('Pricing'!E34*('Pricing'!$D$45*'Compute'!G68+'Pricing'!$E$45*'Compute'!G69+'Pricing'!$F$45*'Compute'!G70)+'Compute'!G71)/4</x:f>
        <x:v>1957.4643404851718</x:v>
      </x:c>
      <x:c r="Q131" s="52" t="n">
        <x:f>Q31*('Pricing'!E34*('Pricing'!$D$46*'Compute'!H68+'Pricing'!$E$46*'Compute'!H69+'Pricing'!$F$46*'Compute'!H70)+'Compute'!H71)/4</x:f>
        <x:v>1876.9109041417107</x:v>
      </x:c>
      <x:c r="R131" s="52" t="n">
        <x:f>R31*('Pricing'!E34*('Pricing'!$D$46*'Compute'!H68+'Pricing'!$E$46*'Compute'!H69+'Pricing'!$F$46*'Compute'!H70)+'Compute'!H71)/4</x:f>
        <x:v>1876.9109041417107</x:v>
      </x:c>
      <x:c r="S131" s="52" t="n">
        <x:f>S31*('Pricing'!E34*('Pricing'!$D$46*'Compute'!H68+'Pricing'!$E$46*'Compute'!H69+'Pricing'!$F$46*'Compute'!H70)+'Compute'!H71)/4</x:f>
        <x:v>1876.9109041417107</x:v>
      </x:c>
      <x:c r="T131" s="52" t="n">
        <x:f>T31*('Pricing'!E34*('Pricing'!$D$46*'Compute'!H68+'Pricing'!$E$46*'Compute'!H69+'Pricing'!$F$46*'Compute'!H70)+'Compute'!H71)/4</x:f>
        <x:v>1876.9109041417107</x:v>
      </x:c>
    </x:row>
    <x:row r="132" ht="25" customHeight="1">
      <x:c r="A132" s="2"/>
      <x:c r="B132" s="2"/>
      <x:c r="C132" s="32" t="str">
        <x:v>Activated Q2:27</x:v>
      </x:c>
      <x:c r="D132" s="3" t="n">
        <x:f>0</x:f>
        <x:v>0</x:v>
      </x:c>
      <x:c r="E132" s="3" t="n">
        <x:f>0</x:f>
        <x:v>0</x:v>
      </x:c>
      <x:c r="F132" s="52" t="n">
        <x:f>F32*('Pricing'!E34*('Pricing'!$D$43*'Compute'!E68+'Pricing'!$E$43*'Compute'!E69+'Pricing'!$F$43*'Compute'!E70)+'Compute'!E71)/4</x:f>
        <x:v>3751.4988922031253</x:v>
      </x:c>
      <x:c r="G132" s="52" t="n">
        <x:f>G32*('Pricing'!E34*('Pricing'!$D$43*'Compute'!E68+'Pricing'!$E$43*'Compute'!E69+'Pricing'!$F$43*'Compute'!E70)+'Compute'!E71)/4</x:f>
        <x:v>3751.4988922031253</x:v>
      </x:c>
      <x:c r="H132" s="52" t="n">
        <x:f>H32*('Pricing'!E34*('Pricing'!$D$43*'Compute'!E68+'Pricing'!$E$43*'Compute'!E69+'Pricing'!$F$43*'Compute'!E70)+'Compute'!E71)/4</x:f>
        <x:v>3751.4988922031253</x:v>
      </x:c>
      <x:c r="I132" s="52" t="n">
        <x:f>I32*('Pricing'!E34*('Pricing'!$D$43*'Compute'!F68+'Pricing'!$E$43*'Compute'!F69+'Pricing'!$F$43*'Compute'!F70)+'Compute'!F71)/4</x:f>
        <x:v>3831.0367990459827</x:v>
      </x:c>
      <x:c r="J132" s="52" t="n">
        <x:f>J32*('Pricing'!E34*('Pricing'!$D$44*'Compute'!F68+'Pricing'!$E$44*'Compute'!F69+'Pricing'!$F$44*'Compute'!F70)+'Compute'!F71)/4</x:f>
        <x:v>3608.3473304865265</x:v>
      </x:c>
      <x:c r="K132" s="52" t="n">
        <x:f>K32*('Pricing'!E34*('Pricing'!$D$44*'Compute'!F68+'Pricing'!$E$44*'Compute'!F69+'Pricing'!$F$44*'Compute'!F70)+'Compute'!F71)/4</x:f>
        <x:v>3608.3473304865265</x:v>
      </x:c>
      <x:c r="L132" s="52" t="n">
        <x:f>L32*('Pricing'!E34*('Pricing'!$D$44*'Compute'!F68+'Pricing'!$E$44*'Compute'!F69+'Pricing'!$F$44*'Compute'!F70)+'Compute'!F71)/4</x:f>
        <x:v>3608.3473304865265</x:v>
      </x:c>
      <x:c r="M132" s="52" t="n">
        <x:f>M32*('Pricing'!E34*('Pricing'!$D$44*'Compute'!G68+'Pricing'!$E$44*'Compute'!G69+'Pricing'!$F$44*'Compute'!G70)+'Compute'!G71)/4</x:f>
        <x:v>3727.4878943770987</x:v>
      </x:c>
      <x:c r="N132" s="52" t="n">
        <x:f>N32*('Pricing'!E34*('Pricing'!$D$45*'Compute'!G68+'Pricing'!$E$45*'Compute'!G69+'Pricing'!$F$45*'Compute'!G70)+'Compute'!G71)/4</x:f>
        <x:v>3547.904117129374</x:v>
      </x:c>
      <x:c r="O132" s="52" t="n">
        <x:f>O32*('Pricing'!E34*('Pricing'!$D$45*'Compute'!G68+'Pricing'!$E$45*'Compute'!G69+'Pricing'!$F$45*'Compute'!G70)+'Compute'!G71)/4</x:f>
        <x:v>3547.904117129374</x:v>
      </x:c>
      <x:c r="P132" s="52" t="n">
        <x:f>P32*('Pricing'!E34*('Pricing'!$D$45*'Compute'!G68+'Pricing'!$E$45*'Compute'!G69+'Pricing'!$F$45*'Compute'!G70)+'Compute'!G71)/4</x:f>
        <x:v>3547.904117129374</x:v>
      </x:c>
      <x:c r="Q132" s="52" t="n">
        <x:f>Q32*('Pricing'!E34*('Pricing'!$D$45*'Compute'!H68+'Pricing'!$E$45*'Compute'!H69+'Pricing'!$F$45*'Compute'!H70)+'Compute'!H71)/4</x:f>
        <x:v>3619.534016031728</x:v>
      </x:c>
      <x:c r="R132" s="52" t="n">
        <x:f>R32*('Pricing'!E34*('Pricing'!$D$46*'Compute'!H68+'Pricing'!$E$46*'Compute'!H69+'Pricing'!$F$46*'Compute'!H70)+'Compute'!H71)/4</x:f>
        <x:v>3401.9010137568507</x:v>
      </x:c>
      <x:c r="S132" s="52" t="n">
        <x:f>S32*('Pricing'!E34*('Pricing'!$D$46*'Compute'!H68+'Pricing'!$E$46*'Compute'!H69+'Pricing'!$F$46*'Compute'!H70)+'Compute'!H71)/4</x:f>
        <x:v>3401.9010137568507</x:v>
      </x:c>
      <x:c r="T132" s="52" t="n">
        <x:f>T32*('Pricing'!E34*('Pricing'!$D$46*'Compute'!H68+'Pricing'!$E$46*'Compute'!H69+'Pricing'!$F$46*'Compute'!H70)+'Compute'!H71)/4</x:f>
        <x:v>3401.9010137568507</x:v>
      </x:c>
    </x:row>
    <x:row r="133" ht="25" customHeight="1">
      <x:c r="A133" s="2"/>
      <x:c r="B133" s="2"/>
      <x:c r="C133" s="32" t="str">
        <x:v>Activated Q3:27</x:v>
      </x:c>
      <x:c r="D133" s="3" t="n">
        <x:f>0</x:f>
        <x:v>0</x:v>
      </x:c>
      <x:c r="E133" s="3" t="n">
        <x:f>0</x:f>
        <x:v>0</x:v>
      </x:c>
      <x:c r="F133" s="3" t="n">
        <x:f>0</x:f>
        <x:v>0</x:v>
      </x:c>
      <x:c r="G133" s="52" t="n">
        <x:f>G33*('Pricing'!E34*('Pricing'!$D$43*'Compute'!E68+'Pricing'!$E$43*'Compute'!E69+'Pricing'!$F$43*'Compute'!E70)+'Compute'!E71)/4</x:f>
        <x:v>3234.050769140625</x:v>
      </x:c>
      <x:c r="H133" s="52" t="n">
        <x:f>H33*('Pricing'!E34*('Pricing'!$D$43*'Compute'!E68+'Pricing'!$E$43*'Compute'!E69+'Pricing'!$F$43*'Compute'!E70)+'Compute'!E71)/4</x:f>
        <x:v>3234.050769140625</x:v>
      </x:c>
      <x:c r="I133" s="52" t="n">
        <x:f>I33*('Pricing'!E34*('Pricing'!$D$43*'Compute'!F68+'Pricing'!$E$43*'Compute'!F69+'Pricing'!$F$43*'Compute'!F70)+'Compute'!F71)/4</x:f>
        <x:v>3302.617930212054</x:v>
      </x:c>
      <x:c r="J133" s="52" t="n">
        <x:f>J33*('Pricing'!E34*('Pricing'!$D$43*'Compute'!F68+'Pricing'!$E$43*'Compute'!F69+'Pricing'!$F$43*'Compute'!F70)+'Compute'!F71)/4</x:f>
        <x:v>3302.617930212054</x:v>
      </x:c>
      <x:c r="K133" s="52" t="n">
        <x:f>K33*('Pricing'!E34*('Pricing'!$D$44*'Compute'!F68+'Pricing'!$E$44*'Compute'!F69+'Pricing'!$F$44*'Compute'!F70)+'Compute'!F71)/4</x:f>
        <x:v>3110.644250419419</x:v>
      </x:c>
      <x:c r="L133" s="52" t="n">
        <x:f>L33*('Pricing'!E34*('Pricing'!$D$44*'Compute'!F68+'Pricing'!$E$44*'Compute'!F69+'Pricing'!$F$44*'Compute'!F70)+'Compute'!F71)/4</x:f>
        <x:v>3110.644250419419</x:v>
      </x:c>
      <x:c r="M133" s="52" t="n">
        <x:f>M33*('Pricing'!E34*('Pricing'!$D$44*'Compute'!G68+'Pricing'!$E$44*'Compute'!G69+'Pricing'!$F$44*'Compute'!G70)+'Compute'!G71)/4</x:f>
        <x:v>3213.3516330837056</x:v>
      </x:c>
      <x:c r="N133" s="52" t="n">
        <x:f>N33*('Pricing'!E34*('Pricing'!$D$44*'Compute'!G68+'Pricing'!$E$44*'Compute'!G69+'Pricing'!$F$44*'Compute'!G70)+'Compute'!G71)/4</x:f>
        <x:v>3213.3516330837056</x:v>
      </x:c>
      <x:c r="O133" s="52" t="n">
        <x:f>O33*('Pricing'!E34*('Pricing'!$D$45*'Compute'!G68+'Pricing'!$E$45*'Compute'!G69+'Pricing'!$F$45*'Compute'!G70)+'Compute'!G71)/4</x:f>
        <x:v>3058.5380320080803</x:v>
      </x:c>
      <x:c r="P133" s="52" t="n">
        <x:f>P33*('Pricing'!E34*('Pricing'!$D$45*'Compute'!G68+'Pricing'!$E$45*'Compute'!G69+'Pricing'!$F$45*'Compute'!G70)+'Compute'!G71)/4</x:f>
        <x:v>3058.5380320080803</x:v>
      </x:c>
      <x:c r="Q133" s="52" t="n">
        <x:f>Q33*('Pricing'!E34*('Pricing'!$D$45*'Compute'!H68+'Pricing'!$E$45*'Compute'!H69+'Pricing'!$F$45*'Compute'!H70)+'Compute'!H71)/4</x:f>
        <x:v>3120.2879448549375</x:v>
      </x:c>
      <x:c r="R133" s="52" t="n">
        <x:f>R33*('Pricing'!E34*('Pricing'!$D$45*'Compute'!H68+'Pricing'!$E$45*'Compute'!H69+'Pricing'!$F$45*'Compute'!H70)+'Compute'!H71)/4</x:f>
        <x:v>3120.2879448549375</x:v>
      </x:c>
      <x:c r="S133" s="52" t="n">
        <x:f>S33*('Pricing'!E34*('Pricing'!$D$46*'Compute'!H68+'Pricing'!$E$46*'Compute'!H69+'Pricing'!$F$46*'Compute'!H70)+'Compute'!H71)/4</x:f>
        <x:v>2932.6732877214226</x:v>
      </x:c>
      <x:c r="T133" s="52" t="n">
        <x:f>T33*('Pricing'!E34*('Pricing'!$D$46*'Compute'!H68+'Pricing'!$E$46*'Compute'!H69+'Pricing'!$F$46*'Compute'!H70)+'Compute'!H71)/4</x:f>
        <x:v>2932.6732877214226</x:v>
      </x:c>
    </x:row>
    <x:row r="134" ht="25" customHeight="1">
      <x:c r="A134" s="2"/>
      <x:c r="B134" s="2"/>
      <x:c r="C134" s="32" t="str">
        <x:v>Activated Q4:27</x:v>
      </x:c>
      <x:c r="D134" s="3" t="n">
        <x:f>0</x:f>
        <x:v>0</x:v>
      </x:c>
      <x:c r="E134" s="3" t="n">
        <x:f>0</x:f>
        <x:v>0</x:v>
      </x:c>
      <x:c r="F134" s="3" t="n">
        <x:f>0</x:f>
        <x:v>0</x:v>
      </x:c>
      <x:c r="G134" s="3" t="n">
        <x:f>0</x:f>
        <x:v>0</x:v>
      </x:c>
      <x:c r="H134" s="52" t="n">
        <x:f>H34*('Pricing'!E34*('Pricing'!$D$43*'Compute'!E68+'Pricing'!$E$43*'Compute'!E69+'Pricing'!$F$43*'Compute'!E70)+'Compute'!E71)/4</x:f>
        <x:v>3880.8609229687504</x:v>
      </x:c>
      <x:c r="I134" s="52" t="n">
        <x:f>I34*('Pricing'!E34*('Pricing'!$D$43*'Compute'!F68+'Pricing'!$E$43*'Compute'!F69+'Pricing'!$F$43*'Compute'!F70)+'Compute'!F71)/4</x:f>
        <x:v>3963.1415162544645</x:v>
      </x:c>
      <x:c r="J134" s="52" t="n">
        <x:f>J34*('Pricing'!E34*('Pricing'!$D$43*'Compute'!F68+'Pricing'!$E$43*'Compute'!F69+'Pricing'!$F$43*'Compute'!F70)+'Compute'!F71)/4</x:f>
        <x:v>3963.1415162544645</x:v>
      </x:c>
      <x:c r="K134" s="52" t="n">
        <x:f>K34*('Pricing'!E34*('Pricing'!$D$43*'Compute'!F68+'Pricing'!$E$43*'Compute'!F69+'Pricing'!$F$43*'Compute'!F70)+'Compute'!F71)/4</x:f>
        <x:v>3963.1415162544645</x:v>
      </x:c>
      <x:c r="L134" s="52" t="n">
        <x:f>L34*('Pricing'!E34*('Pricing'!$D$44*'Compute'!F68+'Pricing'!$E$44*'Compute'!F69+'Pricing'!$F$44*'Compute'!F70)+'Compute'!F71)/4</x:f>
        <x:v>3732.773100503303</x:v>
      </x:c>
      <x:c r="M134" s="52" t="n">
        <x:f>M34*('Pricing'!E34*('Pricing'!$D$44*'Compute'!G68+'Pricing'!$E$44*'Compute'!G69+'Pricing'!$F$44*'Compute'!G70)+'Compute'!G71)/4</x:f>
        <x:v>3856.0219597004466</x:v>
      </x:c>
      <x:c r="N134" s="52" t="n">
        <x:f>N34*('Pricing'!E34*('Pricing'!$D$44*'Compute'!G68+'Pricing'!$E$44*'Compute'!G69+'Pricing'!$F$44*'Compute'!G70)+'Compute'!G71)/4</x:f>
        <x:v>3856.0219597004466</x:v>
      </x:c>
      <x:c r="O134" s="52" t="n">
        <x:f>O34*('Pricing'!E34*('Pricing'!$D$44*'Compute'!G68+'Pricing'!$E$44*'Compute'!G69+'Pricing'!$F$44*'Compute'!G70)+'Compute'!G71)/4</x:f>
        <x:v>3856.0219597004466</x:v>
      </x:c>
      <x:c r="P134" s="52" t="n">
        <x:f>P34*('Pricing'!E34*('Pricing'!$D$45*'Compute'!G68+'Pricing'!$E$45*'Compute'!G69+'Pricing'!$F$45*'Compute'!G70)+'Compute'!G71)/4</x:f>
        <x:v>3670.2456384096968</x:v>
      </x:c>
      <x:c r="Q134" s="52" t="n">
        <x:f>Q34*('Pricing'!E34*('Pricing'!$D$45*'Compute'!H68+'Pricing'!$E$45*'Compute'!H69+'Pricing'!$F$45*'Compute'!H70)+'Compute'!H71)/4</x:f>
        <x:v>3744.3455338259246</x:v>
      </x:c>
      <x:c r="R134" s="52" t="n">
        <x:f>R34*('Pricing'!E34*('Pricing'!$D$45*'Compute'!H68+'Pricing'!$E$45*'Compute'!H69+'Pricing'!$F$45*'Compute'!H70)+'Compute'!H71)/4</x:f>
        <x:v>3744.3455338259246</x:v>
      </x:c>
      <x:c r="S134" s="52" t="n">
        <x:f>S34*('Pricing'!E34*('Pricing'!$D$45*'Compute'!H68+'Pricing'!$E$45*'Compute'!H69+'Pricing'!$F$45*'Compute'!H70)+'Compute'!H71)/4</x:f>
        <x:v>3744.3455338259246</x:v>
      </x:c>
      <x:c r="T134" s="52" t="n">
        <x:f>T34*('Pricing'!E34*('Pricing'!$D$46*'Compute'!H68+'Pricing'!$E$46*'Compute'!H69+'Pricing'!$F$46*'Compute'!H70)+'Compute'!H71)/4</x:f>
        <x:v>3519.207945265707</x:v>
      </x:c>
    </x:row>
    <x:row r="135" ht="25" customHeight="1">
      <x:c r="A135" s="2"/>
      <x:c r="B135" s="2"/>
      <x:c r="C135" s="32" t="str">
        <x:v>Activated Q1:28</x:v>
      </x:c>
      <x:c r="D135" s="3" t="n">
        <x:f>0</x:f>
        <x:v>0</x:v>
      </x:c>
      <x:c r="E135" s="3" t="n">
        <x:f>0</x:f>
        <x:v>0</x:v>
      </x:c>
      <x:c r="F135" s="3" t="n">
        <x:f>0</x:f>
        <x:v>0</x:v>
      </x:c>
      <x:c r="G135" s="3" t="n">
        <x:f>0</x:f>
        <x:v>0</x:v>
      </x:c>
      <x:c r="H135" s="3" t="n">
        <x:f>0</x:f>
        <x:v>0</x:v>
      </x:c>
      <x:c r="I135" s="52" t="n">
        <x:f>I35*('Pricing'!F34*('Pricing'!$D$43*'Compute'!F68+'Pricing'!$E$43*'Compute'!F69+'Pricing'!$F$43*'Compute'!F70)+'Compute'!F71)/4</x:f>
        <x:v>7211.268358489639</x:v>
      </x:c>
      <x:c r="J135" s="52" t="n">
        <x:f>J35*('Pricing'!F34*('Pricing'!$D$43*'Compute'!F68+'Pricing'!$E$43*'Compute'!F69+'Pricing'!$F$43*'Compute'!F70)+'Compute'!F71)/4</x:f>
        <x:v>7211.268358489639</x:v>
      </x:c>
      <x:c r="K135" s="52" t="n">
        <x:f>K35*('Pricing'!F34*('Pricing'!$D$43*'Compute'!F68+'Pricing'!$E$43*'Compute'!F69+'Pricing'!$F$43*'Compute'!F70)+'Compute'!F71)/4</x:f>
        <x:v>7211.268358489639</x:v>
      </x:c>
      <x:c r="L135" s="52" t="n">
        <x:f>L35*('Pricing'!F34*('Pricing'!$D$43*'Compute'!F68+'Pricing'!$E$43*'Compute'!F69+'Pricing'!$F$43*'Compute'!F70)+'Compute'!F71)/4</x:f>
        <x:v>7211.268358489639</x:v>
      </x:c>
      <x:c r="M135" s="52" t="n">
        <x:f>M35*('Pricing'!F34*('Pricing'!$D$44*'Compute'!G68+'Pricing'!$E$44*'Compute'!G69+'Pricing'!$F$44*'Compute'!G70)+'Compute'!G71)/4</x:f>
        <x:v>7099.597936175145</x:v>
      </x:c>
      <x:c r="N135" s="52" t="n">
        <x:f>N35*('Pricing'!F34*('Pricing'!$D$44*'Compute'!G68+'Pricing'!$E$44*'Compute'!G69+'Pricing'!$F$44*'Compute'!G70)+'Compute'!G71)/4</x:f>
        <x:v>7099.597936175145</x:v>
      </x:c>
      <x:c r="O135" s="52" t="n">
        <x:f>O35*('Pricing'!F34*('Pricing'!$D$44*'Compute'!G68+'Pricing'!$E$44*'Compute'!G69+'Pricing'!$F$44*'Compute'!G70)+'Compute'!G71)/4</x:f>
        <x:v>7099.597936175145</x:v>
      </x:c>
      <x:c r="P135" s="52" t="n">
        <x:f>P35*('Pricing'!F34*('Pricing'!$D$44*'Compute'!G68+'Pricing'!$E$44*'Compute'!G69+'Pricing'!$F$44*'Compute'!G70)+'Compute'!G71)/4</x:f>
        <x:v>7099.597936175145</x:v>
      </x:c>
      <x:c r="Q135" s="52" t="n">
        <x:f>Q35*('Pricing'!F34*('Pricing'!$D$45*'Compute'!H68+'Pricing'!$E$45*'Compute'!H69+'Pricing'!$F$45*'Compute'!H70)+'Compute'!H71)/4</x:f>
        <x:v>6866.301188818447</x:v>
      </x:c>
      <x:c r="R135" s="52" t="n">
        <x:f>R35*('Pricing'!F34*('Pricing'!$D$45*'Compute'!H68+'Pricing'!$E$45*'Compute'!H69+'Pricing'!$F$45*'Compute'!H70)+'Compute'!H71)/4</x:f>
        <x:v>6866.301188818447</x:v>
      </x:c>
      <x:c r="S135" s="52" t="n">
        <x:f>S35*('Pricing'!F34*('Pricing'!$D$45*'Compute'!H68+'Pricing'!$E$45*'Compute'!H69+'Pricing'!$F$45*'Compute'!H70)+'Compute'!H71)/4</x:f>
        <x:v>6866.301188818447</x:v>
      </x:c>
      <x:c r="T135" s="52" t="n">
        <x:f>T35*('Pricing'!F34*('Pricing'!$D$45*'Compute'!H68+'Pricing'!$E$45*'Compute'!H69+'Pricing'!$F$45*'Compute'!H70)+'Compute'!H71)/4</x:f>
        <x:v>6866.301188818447</x:v>
      </x:c>
    </x:row>
    <x:row r="136" ht="25" customHeight="1">
      <x:c r="A136" s="2"/>
      <x:c r="B136" s="2"/>
      <x:c r="C136" s="32" t="str">
        <x:v>Activated Q2:28</x:v>
      </x:c>
      <x:c r="D136" s="3" t="n">
        <x:f>0</x:f>
        <x:v>0</x:v>
      </x:c>
      <x:c r="E136" s="3" t="n">
        <x:f>0</x:f>
        <x:v>0</x:v>
      </x:c>
      <x:c r="F136" s="3" t="n">
        <x:f>0</x:f>
        <x:v>0</x:v>
      </x:c>
      <x:c r="G136" s="3" t="n">
        <x:f>0</x:f>
        <x:v>0</x:v>
      </x:c>
      <x:c r="H136" s="3" t="n">
        <x:f>0</x:f>
        <x:v>0</x:v>
      </x:c>
      <x:c r="I136" s="3" t="n">
        <x:f>0</x:f>
        <x:v>0</x:v>
      </x:c>
      <x:c r="J136" s="52" t="n">
        <x:f>J36*('Pricing'!F34*('Pricing'!$D$43*'Compute'!F68+'Pricing'!$E$43*'Compute'!F69+'Pricing'!$F$43*'Compute'!F70)+'Compute'!F71)/4</x:f>
        <x:v>10704.507992230336</x:v>
      </x:c>
      <x:c r="K136" s="52" t="n">
        <x:f>K36*('Pricing'!F34*('Pricing'!$D$43*'Compute'!F68+'Pricing'!$E$43*'Compute'!F69+'Pricing'!$F$43*'Compute'!F70)+'Compute'!F71)/4</x:f>
        <x:v>10704.507992230336</x:v>
      </x:c>
      <x:c r="L136" s="52" t="n">
        <x:f>L36*('Pricing'!F34*('Pricing'!$D$43*'Compute'!F68+'Pricing'!$E$43*'Compute'!F69+'Pricing'!$F$43*'Compute'!F70)+'Compute'!F71)/4</x:f>
        <x:v>10704.507992230336</x:v>
      </x:c>
      <x:c r="M136" s="52" t="n">
        <x:f>M36*('Pricing'!F34*('Pricing'!$D$43*'Compute'!G68+'Pricing'!$E$43*'Compute'!G69+'Pricing'!$F$43*'Compute'!G70)+'Compute'!G71)/4</x:f>
        <x:v>10859.21124337655</x:v>
      </x:c>
      <x:c r="N136" s="52" t="n">
        <x:f>N36*('Pricing'!F34*('Pricing'!$D$44*'Compute'!G68+'Pricing'!$E$44*'Compute'!G69+'Pricing'!$F$44*'Compute'!G70)+'Compute'!G71)/4</x:f>
        <x:v>10538.742849576347</x:v>
      </x:c>
      <x:c r="O136" s="52" t="n">
        <x:f>O36*('Pricing'!F34*('Pricing'!$D$44*'Compute'!G68+'Pricing'!$E$44*'Compute'!G69+'Pricing'!$F$44*'Compute'!G70)+'Compute'!G71)/4</x:f>
        <x:v>10538.742849576347</x:v>
      </x:c>
      <x:c r="P136" s="52" t="n">
        <x:f>P36*('Pricing'!F34*('Pricing'!$D$44*'Compute'!G68+'Pricing'!$E$44*'Compute'!G69+'Pricing'!$F$44*'Compute'!G70)+'Compute'!G71)/4</x:f>
        <x:v>10538.742849576347</x:v>
      </x:c>
      <x:c r="Q136" s="52" t="n">
        <x:f>Q36*('Pricing'!F34*('Pricing'!$D$44*'Compute'!H68+'Pricing'!$E$44*'Compute'!H69+'Pricing'!$F$44*'Compute'!H70)+'Compute'!H71)/4</x:f>
        <x:v>10623.233480088758</x:v>
      </x:c>
      <x:c r="R136" s="52" t="n">
        <x:f>R36*('Pricing'!F34*('Pricing'!$D$45*'Compute'!H68+'Pricing'!$E$45*'Compute'!H69+'Pricing'!$F$45*'Compute'!H70)+'Compute'!H71)/4</x:f>
        <x:v>10192.433882485826</x:v>
      </x:c>
      <x:c r="S136" s="52" t="n">
        <x:f>S36*('Pricing'!F34*('Pricing'!$D$45*'Compute'!H68+'Pricing'!$E$45*'Compute'!H69+'Pricing'!$F$45*'Compute'!H70)+'Compute'!H71)/4</x:f>
        <x:v>10192.433882485826</x:v>
      </x:c>
      <x:c r="T136" s="52" t="n">
        <x:f>T36*('Pricing'!F34*('Pricing'!$D$45*'Compute'!H68+'Pricing'!$E$45*'Compute'!H69+'Pricing'!$F$45*'Compute'!H70)+'Compute'!H71)/4</x:f>
        <x:v>10192.433882485826</x:v>
      </x:c>
    </x:row>
    <x:row r="137" ht="25" customHeight="1">
      <x:c r="A137" s="2"/>
      <x:c r="B137" s="2"/>
      <x:c r="C137" s="32" t="str">
        <x:v>Activated Q3:28</x:v>
      </x:c>
      <x:c r="D137" s="3" t="n">
        <x:f>0</x:f>
        <x:v>0</x:v>
      </x:c>
      <x:c r="E137" s="3" t="n">
        <x:f>0</x:f>
        <x:v>0</x:v>
      </x:c>
      <x:c r="F137" s="3" t="n">
        <x:f>0</x:f>
        <x:v>0</x:v>
      </x:c>
      <x:c r="G137" s="3" t="n">
        <x:f>0</x:f>
        <x:v>0</x:v>
      </x:c>
      <x:c r="H137" s="3" t="n">
        <x:f>0</x:f>
        <x:v>0</x:v>
      </x:c>
      <x:c r="I137" s="3" t="n">
        <x:f>0</x:f>
        <x:v>0</x:v>
      </x:c>
      <x:c r="J137" s="3" t="n">
        <x:f>0</x:f>
        <x:v>0</x:v>
      </x:c>
      <x:c r="K137" s="52" t="n">
        <x:f>K37*('Pricing'!F34*('Pricing'!$D$43*'Compute'!F68+'Pricing'!$E$43*'Compute'!F69+'Pricing'!$F$43*'Compute'!F70)+'Compute'!F71)/4</x:f>
        <x:v>13154.880678946149</x:v>
      </x:c>
      <x:c r="L137" s="52" t="n">
        <x:f>L37*('Pricing'!F34*('Pricing'!$D$43*'Compute'!F68+'Pricing'!$E$43*'Compute'!F69+'Pricing'!$F$43*'Compute'!F70)+'Compute'!F71)/4</x:f>
        <x:v>13154.880678946149</x:v>
      </x:c>
      <x:c r="M137" s="52" t="n">
        <x:f>M37*('Pricing'!F34*('Pricing'!$D$43*'Compute'!G68+'Pricing'!$E$43*'Compute'!G69+'Pricing'!$F$43*'Compute'!G70)+'Compute'!G71)/4</x:f>
        <x:v>13344.997105684364</x:v>
      </x:c>
      <x:c r="N137" s="52" t="n">
        <x:f>N37*('Pricing'!F34*('Pricing'!$D$43*'Compute'!G68+'Pricing'!$E$43*'Compute'!G69+'Pricing'!$F$43*'Compute'!G70)+'Compute'!G71)/4</x:f>
        <x:v>13344.997105684364</x:v>
      </x:c>
      <x:c r="O137" s="52" t="n">
        <x:f>O37*('Pricing'!F34*('Pricing'!$D$44*'Compute'!G68+'Pricing'!$E$44*'Compute'!G69+'Pricing'!$F$44*'Compute'!G70)+'Compute'!G71)/4</x:f>
        <x:v>12951.170179227296</x:v>
      </x:c>
      <x:c r="P137" s="52" t="n">
        <x:f>P37*('Pricing'!F34*('Pricing'!$D$44*'Compute'!G68+'Pricing'!$E$44*'Compute'!G69+'Pricing'!$F$44*'Compute'!G70)+'Compute'!G71)/4</x:f>
        <x:v>12951.170179227296</x:v>
      </x:c>
      <x:c r="Q137" s="52" t="n">
        <x:f>Q37*('Pricing'!F34*('Pricing'!$D$44*'Compute'!H68+'Pricing'!$E$44*'Compute'!H69+'Pricing'!$F$44*'Compute'!H70)+'Compute'!H71)/4</x:f>
        <x:v>13055.001589665442</x:v>
      </x:c>
      <x:c r="R137" s="52" t="n">
        <x:f>R37*('Pricing'!F34*('Pricing'!$D$44*'Compute'!H68+'Pricing'!$E$44*'Compute'!H69+'Pricing'!$F$44*'Compute'!H70)+'Compute'!H71)/4</x:f>
        <x:v>13055.001589665442</x:v>
      </x:c>
      <x:c r="S137" s="52" t="n">
        <x:f>S37*('Pricing'!F34*('Pricing'!$D$45*'Compute'!H68+'Pricing'!$E$45*'Compute'!H69+'Pricing'!$F$45*'Compute'!H70)+'Compute'!H71)/4</x:f>
        <x:v>12525.587504766076</x:v>
      </x:c>
      <x:c r="T137" s="52" t="n">
        <x:f>T37*('Pricing'!F34*('Pricing'!$D$45*'Compute'!H68+'Pricing'!$E$45*'Compute'!H69+'Pricing'!$F$45*'Compute'!H70)+'Compute'!H71)/4</x:f>
        <x:v>12525.587504766076</x:v>
      </x:c>
    </x:row>
    <x:row r="138" ht="25" customHeight="1">
      <x:c r="A138" s="2"/>
      <x:c r="B138" s="2"/>
      <x:c r="C138" s="32" t="str">
        <x:v>Activated Q4:28</x:v>
      </x:c>
      <x:c r="D138" s="3" t="n">
        <x:f>0</x:f>
        <x:v>0</x:v>
      </x:c>
      <x:c r="E138" s="3" t="n">
        <x:f>0</x:f>
        <x:v>0</x:v>
      </x:c>
      <x:c r="F138" s="3" t="n">
        <x:f>0</x:f>
        <x:v>0</x:v>
      </x:c>
      <x:c r="G138" s="3" t="n">
        <x:f>0</x:f>
        <x:v>0</x:v>
      </x:c>
      <x:c r="H138" s="3" t="n">
        <x:f>0</x:f>
        <x:v>0</x:v>
      </x:c>
      <x:c r="I138" s="3" t="n">
        <x:f>0</x:f>
        <x:v>0</x:v>
      </x:c>
      <x:c r="J138" s="3" t="n">
        <x:f>0</x:f>
        <x:v>0</x:v>
      </x:c>
      <x:c r="K138" s="3" t="n">
        <x:f>0</x:f>
        <x:v>0</x:v>
      </x:c>
      <x:c r="L138" s="52" t="n">
        <x:f>L38*('Pricing'!F34*('Pricing'!$D$43*'Compute'!F68+'Pricing'!$E$43*'Compute'!F69+'Pricing'!$F$43*'Compute'!F70)+'Compute'!F71)/4</x:f>
        <x:v>20064.57130656022</x:v>
      </x:c>
      <x:c r="M138" s="52" t="n">
        <x:f>M38*('Pricing'!F34*('Pricing'!$D$43*'Compute'!G68+'Pricing'!$E$43*'Compute'!G69+'Pricing'!$F$43*'Compute'!G70)+'Compute'!G71)/4</x:f>
        <x:v>20354.54768064794</x:v>
      </x:c>
      <x:c r="N138" s="52" t="n">
        <x:f>N38*('Pricing'!F34*('Pricing'!$D$43*'Compute'!G68+'Pricing'!$E$43*'Compute'!G69+'Pricing'!$F$43*'Compute'!G70)+'Compute'!G71)/4</x:f>
        <x:v>20354.54768064794</x:v>
      </x:c>
      <x:c r="O138" s="52" t="n">
        <x:f>O38*('Pricing'!F34*('Pricing'!$D$43*'Compute'!G68+'Pricing'!$E$43*'Compute'!G69+'Pricing'!$F$43*'Compute'!G70)+'Compute'!G71)/4</x:f>
        <x:v>20354.54768064794</x:v>
      </x:c>
      <x:c r="P138" s="52" t="n">
        <x:f>P38*('Pricing'!F34*('Pricing'!$D$44*'Compute'!G68+'Pricing'!$E$44*'Compute'!G69+'Pricing'!$F$44*'Compute'!G70)+'Compute'!G71)/4</x:f>
        <x:v>19753.860480118015</x:v>
      </x:c>
      <x:c r="Q138" s="52" t="n">
        <x:f>Q38*('Pricing'!F34*('Pricing'!$D$44*'Compute'!H68+'Pricing'!$E$44*'Compute'!H69+'Pricing'!$F$44*'Compute'!H70)+'Compute'!H71)/4</x:f>
        <x:v>19912.230045714397</x:v>
      </x:c>
      <x:c r="R138" s="52" t="n">
        <x:f>R38*('Pricing'!F34*('Pricing'!$D$44*'Compute'!H68+'Pricing'!$E$44*'Compute'!H69+'Pricing'!$F$44*'Compute'!H70)+'Compute'!H71)/4</x:f>
        <x:v>19912.230045714397</x:v>
      </x:c>
      <x:c r="S138" s="52" t="n">
        <x:f>S38*('Pricing'!F34*('Pricing'!$D$44*'Compute'!H68+'Pricing'!$E$44*'Compute'!H69+'Pricing'!$F$44*'Compute'!H70)+'Compute'!H71)/4</x:f>
        <x:v>19912.230045714397</x:v>
      </x:c>
      <x:c r="T138" s="52" t="n">
        <x:f>T38*('Pricing'!F34*('Pricing'!$D$45*'Compute'!H68+'Pricing'!$E$45*'Compute'!H69+'Pricing'!$F$45*'Compute'!H70)+'Compute'!H71)/4</x:f>
        <x:v>19104.73760876957</x:v>
      </x:c>
    </x:row>
    <x:row r="139" ht="25" customHeight="1">
      <x:c r="A139" s="2"/>
      <x:c r="B139" s="2"/>
      <x:c r="C139" s="32" t="str">
        <x:v>Activated Q1:29</x:v>
      </x:c>
      <x:c r="D139" s="3" t="n">
        <x:f>0</x:f>
        <x:v>0</x:v>
      </x:c>
      <x:c r="E139" s="3" t="n">
        <x:f>0</x:f>
        <x:v>0</x:v>
      </x:c>
      <x:c r="F139" s="3" t="n">
        <x:f>0</x:f>
        <x:v>0</x:v>
      </x:c>
      <x:c r="G139" s="3" t="n">
        <x:f>0</x:f>
        <x:v>0</x:v>
      </x:c>
      <x:c r="H139" s="3" t="n">
        <x:f>0</x:f>
        <x:v>0</x:v>
      </x:c>
      <x:c r="I139" s="3" t="n">
        <x:f>0</x:f>
        <x:v>0</x:v>
      </x:c>
      <x:c r="J139" s="3" t="n">
        <x:f>0</x:f>
        <x:v>0</x:v>
      </x:c>
      <x:c r="K139" s="3" t="n">
        <x:f>0</x:f>
        <x:v>0</x:v>
      </x:c>
      <x:c r="L139" s="3" t="n">
        <x:f>0</x:f>
        <x:v>0</x:v>
      </x:c>
      <x:c r="M139" s="52" t="n">
        <x:f>M39*('Pricing'!G34*('Pricing'!$D$43*'Compute'!G68+'Pricing'!$E$43*'Compute'!G69+'Pricing'!$F$43*'Compute'!G70)+'Compute'!G71)/4</x:f>
        <x:v>33670.64119772462</x:v>
      </x:c>
      <x:c r="N139" s="52" t="n">
        <x:f>N39*('Pricing'!G34*('Pricing'!$D$43*'Compute'!G68+'Pricing'!$E$43*'Compute'!G69+'Pricing'!$F$43*'Compute'!G70)+'Compute'!G71)/4</x:f>
        <x:v>33670.64119772462</x:v>
      </x:c>
      <x:c r="O139" s="52" t="n">
        <x:f>O39*('Pricing'!G34*('Pricing'!$D$43*'Compute'!G68+'Pricing'!$E$43*'Compute'!G69+'Pricing'!$F$43*'Compute'!G70)+'Compute'!G71)/4</x:f>
        <x:v>33670.64119772462</x:v>
      </x:c>
      <x:c r="P139" s="52" t="n">
        <x:f>P39*('Pricing'!G34*('Pricing'!$D$43*'Compute'!G68+'Pricing'!$E$43*'Compute'!G69+'Pricing'!$F$43*'Compute'!G70)+'Compute'!G71)/4</x:f>
        <x:v>33670.64119772462</x:v>
      </x:c>
      <x:c r="Q139" s="52" t="n">
        <x:f>Q39*('Pricing'!G34*('Pricing'!$D$44*'Compute'!H68+'Pricing'!$E$44*'Compute'!H69+'Pricing'!$F$44*'Compute'!H70)+'Compute'!H71)/4</x:f>
        <x:v>32933.3314257345</x:v>
      </x:c>
      <x:c r="R139" s="52" t="n">
        <x:f>R39*('Pricing'!G34*('Pricing'!$D$44*'Compute'!H68+'Pricing'!$E$44*'Compute'!H69+'Pricing'!$F$44*'Compute'!H70)+'Compute'!H71)/4</x:f>
        <x:v>32933.3314257345</x:v>
      </x:c>
      <x:c r="S139" s="52" t="n">
        <x:f>S39*('Pricing'!G34*('Pricing'!$D$44*'Compute'!H68+'Pricing'!$E$44*'Compute'!H69+'Pricing'!$F$44*'Compute'!H70)+'Compute'!H71)/4</x:f>
        <x:v>32933.3314257345</x:v>
      </x:c>
      <x:c r="T139" s="52" t="n">
        <x:f>T39*('Pricing'!G34*('Pricing'!$D$44*'Compute'!H68+'Pricing'!$E$44*'Compute'!H69+'Pricing'!$F$44*'Compute'!H70)+'Compute'!H71)/4</x:f>
        <x:v>32933.3314257345</x:v>
      </x:c>
    </x:row>
    <x:row r="140" ht="25" customHeight="1">
      <x:c r="A140" s="2"/>
      <x:c r="B140" s="2"/>
      <x:c r="C140" s="32" t="str">
        <x:v>Activated Q2:29</x:v>
      </x:c>
      <x:c r="D140" s="3" t="n">
        <x:f>0</x:f>
        <x:v>0</x:v>
      </x:c>
      <x:c r="E140" s="3" t="n">
        <x:f>0</x:f>
        <x:v>0</x:v>
      </x:c>
      <x:c r="F140" s="3" t="n">
        <x:f>0</x:f>
        <x:v>0</x:v>
      </x:c>
      <x:c r="G140" s="3" t="n">
        <x:f>0</x:f>
        <x:v>0</x:v>
      </x:c>
      <x:c r="H140" s="3" t="n">
        <x:f>0</x:f>
        <x:v>0</x:v>
      </x:c>
      <x:c r="I140" s="3" t="n">
        <x:f>0</x:f>
        <x:v>0</x:v>
      </x:c>
      <x:c r="J140" s="3" t="n">
        <x:f>0</x:f>
        <x:v>0</x:v>
      </x:c>
      <x:c r="K140" s="3" t="n">
        <x:f>0</x:f>
        <x:v>0</x:v>
      </x:c>
      <x:c r="L140" s="3" t="n">
        <x:f>0</x:f>
        <x:v>0</x:v>
      </x:c>
      <x:c r="M140" s="3" t="n">
        <x:f>0</x:f>
        <x:v>0</x:v>
      </x:c>
      <x:c r="N140" s="52" t="n">
        <x:f>N40*('Pricing'!G34*('Pricing'!$D$43*'Compute'!G68+'Pricing'!$E$43*'Compute'!G69+'Pricing'!$F$43*'Compute'!G70)+'Compute'!G71)/4</x:f>
        <x:v>55927.288105734384</x:v>
      </x:c>
      <x:c r="O140" s="52" t="n">
        <x:f>O40*('Pricing'!G34*('Pricing'!$D$43*'Compute'!G68+'Pricing'!$E$43*'Compute'!G69+'Pricing'!$F$43*'Compute'!G70)+'Compute'!G71)/4</x:f>
        <x:v>55927.288105734384</x:v>
      </x:c>
      <x:c r="P140" s="52" t="n">
        <x:f>P40*('Pricing'!G34*('Pricing'!$D$43*'Compute'!G68+'Pricing'!$E$43*'Compute'!G69+'Pricing'!$F$43*'Compute'!G70)+'Compute'!G71)/4</x:f>
        <x:v>55927.288105734384</x:v>
      </x:c>
      <x:c r="Q140" s="52" t="n">
        <x:f>Q40*('Pricing'!G34*('Pricing'!$D$43*'Compute'!H68+'Pricing'!$E$43*'Compute'!H69+'Pricing'!$F$43*'Compute'!H70)+'Compute'!H71)/4</x:f>
        <x:v>56525.97431726438</x:v>
      </x:c>
      <x:c r="R140" s="52" t="n">
        <x:f>R40*('Pricing'!G34*('Pricing'!$D$44*'Compute'!H68+'Pricing'!$E$44*'Compute'!H69+'Pricing'!$F$44*'Compute'!H70)+'Compute'!H71)/4</x:f>
        <x:v>54702.60884289779</x:v>
      </x:c>
      <x:c r="S140" s="52" t="n">
        <x:f>S40*('Pricing'!G34*('Pricing'!$D$44*'Compute'!H68+'Pricing'!$E$44*'Compute'!H69+'Pricing'!$F$44*'Compute'!H70)+'Compute'!H71)/4</x:f>
        <x:v>54702.60884289779</x:v>
      </x:c>
      <x:c r="T140" s="52" t="n">
        <x:f>T40*('Pricing'!G34*('Pricing'!$D$44*'Compute'!H68+'Pricing'!$E$44*'Compute'!H69+'Pricing'!$F$44*'Compute'!H70)+'Compute'!H71)/4</x:f>
        <x:v>54702.60884289779</x:v>
      </x:c>
    </x:row>
    <x:row r="141" ht="25" customHeight="1">
      <x:c r="A141" s="2"/>
      <x:c r="B141" s="2"/>
      <x:c r="C141" s="32" t="str">
        <x:v>Activated Q3:29</x:v>
      </x:c>
      <x:c r="D141" s="3" t="n">
        <x:f>0</x:f>
        <x:v>0</x:v>
      </x:c>
      <x:c r="E141" s="3" t="n">
        <x:f>0</x:f>
        <x:v>0</x:v>
      </x:c>
      <x:c r="F141" s="3" t="n">
        <x:f>0</x:f>
        <x:v>0</x:v>
      </x:c>
      <x:c r="G141" s="3" t="n">
        <x:f>0</x:f>
        <x:v>0</x:v>
      </x:c>
      <x:c r="H141" s="3" t="n">
        <x:f>0</x:f>
        <x:v>0</x:v>
      </x:c>
      <x:c r="I141" s="3" t="n">
        <x:f>0</x:f>
        <x:v>0</x:v>
      </x:c>
      <x:c r="J141" s="3" t="n">
        <x:f>0</x:f>
        <x:v>0</x:v>
      </x:c>
      <x:c r="K141" s="3" t="n">
        <x:f>0</x:f>
        <x:v>0</x:v>
      </x:c>
      <x:c r="L141" s="3" t="n">
        <x:f>0</x:f>
        <x:v>0</x:v>
      </x:c>
      <x:c r="M141" s="3" t="n">
        <x:f>0</x:f>
        <x:v>0</x:v>
      </x:c>
      <x:c r="N141" s="3" t="n">
        <x:f>0</x:f>
        <x:v>0</x:v>
      </x:c>
      <x:c r="O141" s="52" t="n">
        <x:f>O41*('Pricing'!G34*('Pricing'!$D$43*'Compute'!G68+'Pricing'!$E$43*'Compute'!G69+'Pricing'!$F$43*'Compute'!G70)+'Compute'!G71)/4</x:f>
        <x:v>67974.06851628349</x:v>
      </x:c>
      <x:c r="P141" s="52" t="n">
        <x:f>P41*('Pricing'!G34*('Pricing'!$D$43*'Compute'!G68+'Pricing'!$E$43*'Compute'!G69+'Pricing'!$F$43*'Compute'!G70)+'Compute'!G71)/4</x:f>
        <x:v>67974.06851628349</x:v>
      </x:c>
      <x:c r="Q141" s="52" t="n">
        <x:f>Q41*('Pricing'!G34*('Pricing'!$D$43*'Compute'!H68+'Pricing'!$E$43*'Compute'!H69+'Pricing'!$F$43*'Compute'!H70)+'Compute'!H71)/4</x:f>
        <x:v>68701.71219329063</x:v>
      </x:c>
      <x:c r="R141" s="52" t="n">
        <x:f>R41*('Pricing'!G34*('Pricing'!$D$43*'Compute'!H68+'Pricing'!$E$43*'Compute'!H69+'Pricing'!$F$43*'Compute'!H70)+'Compute'!H71)/4</x:f>
        <x:v>68701.71219329063</x:v>
      </x:c>
      <x:c r="S141" s="52" t="n">
        <x:f>S41*('Pricing'!G34*('Pricing'!$D$44*'Compute'!H68+'Pricing'!$E$44*'Compute'!H69+'Pricing'!$F$44*'Compute'!H70)+'Compute'!H71)/4</x:f>
        <x:v>66485.59240842819</x:v>
      </x:c>
      <x:c r="T141" s="52" t="n">
        <x:f>T41*('Pricing'!G34*('Pricing'!$D$44*'Compute'!H68+'Pricing'!$E$44*'Compute'!H69+'Pricing'!$F$44*'Compute'!H70)+'Compute'!H71)/4</x:f>
        <x:v>66485.59240842819</x:v>
      </x:c>
    </x:row>
    <x:row r="142" ht="25" customHeight="1">
      <x:c r="A142" s="2"/>
      <x:c r="B142" s="2"/>
      <x:c r="C142" s="32" t="str">
        <x:v>Activated Q4:29</x:v>
      </x:c>
      <x:c r="D142" s="3" t="n">
        <x:f>0</x:f>
        <x:v>0</x:v>
      </x:c>
      <x:c r="E142" s="3" t="n">
        <x:f>0</x:f>
        <x:v>0</x:v>
      </x:c>
      <x:c r="F142" s="3" t="n">
        <x:f>0</x:f>
        <x:v>0</x:v>
      </x:c>
      <x:c r="G142" s="3" t="n">
        <x:f>0</x:f>
        <x:v>0</x:v>
      </x:c>
      <x:c r="H142" s="3" t="n">
        <x:f>0</x:f>
        <x:v>0</x:v>
      </x:c>
      <x:c r="I142" s="3" t="n">
        <x:f>0</x:f>
        <x:v>0</x:v>
      </x:c>
      <x:c r="J142" s="3" t="n">
        <x:f>0</x:f>
        <x:v>0</x:v>
      </x:c>
      <x:c r="K142" s="3" t="n">
        <x:f>0</x:f>
        <x:v>0</x:v>
      </x:c>
      <x:c r="L142" s="3" t="n">
        <x:f>0</x:f>
        <x:v>0</x:v>
      </x:c>
      <x:c r="M142" s="3" t="n">
        <x:f>0</x:f>
        <x:v>0</x:v>
      </x:c>
      <x:c r="N142" s="3" t="n">
        <x:f>0</x:f>
        <x:v>0</x:v>
      </x:c>
      <x:c r="O142" s="3" t="n">
        <x:f>0</x:f>
        <x:v>0</x:v>
      </x:c>
      <x:c r="P142" s="52" t="n">
        <x:f>P42*('Pricing'!G34*('Pricing'!$D$43*'Compute'!G68+'Pricing'!$E$43*'Compute'!G69+'Pricing'!$F$43*'Compute'!G70)+'Compute'!G71)/4</x:f>
        <x:v>93564.30607535494</x:v>
      </x:c>
      <x:c r="Q142" s="52" t="n">
        <x:f>Q42*('Pricing'!G34*('Pricing'!$D$43*'Compute'!H68+'Pricing'!$E$43*'Compute'!H69+'Pricing'!$F$43*'Compute'!H70)+'Compute'!H71)/4</x:f>
        <x:v>94565.88619547064</x:v>
      </x:c>
      <x:c r="R142" s="52" t="n">
        <x:f>R42*('Pricing'!G34*('Pricing'!$D$43*'Compute'!H68+'Pricing'!$E$43*'Compute'!H69+'Pricing'!$F$43*'Compute'!H70)+'Compute'!H71)/4</x:f>
        <x:v>94565.88619547064</x:v>
      </x:c>
      <x:c r="S142" s="52" t="n">
        <x:f>S42*('Pricing'!G34*('Pricing'!$D$43*'Compute'!H68+'Pricing'!$E$43*'Compute'!H69+'Pricing'!$F$43*'Compute'!H70)+'Compute'!H71)/4</x:f>
        <x:v>94565.88619547064</x:v>
      </x:c>
      <x:c r="T142" s="52" t="n">
        <x:f>T42*('Pricing'!G34*('Pricing'!$D$44*'Compute'!H68+'Pricing'!$E$44*'Compute'!H69+'Pricing'!$F$44*'Compute'!H70)+'Compute'!H71)/4</x:f>
        <x:v>91515.46249160115</x:v>
      </x:c>
    </x:row>
    <x:row r="143" ht="25" customHeight="1">
      <x:c r="A143" s="2"/>
      <x:c r="B143" s="2"/>
      <x:c r="C143" s="32" t="str">
        <x:v>Activated Q1:30</x:v>
      </x:c>
      <x:c r="D143" s="3" t="n">
        <x:f>0</x:f>
        <x:v>0</x:v>
      </x:c>
      <x:c r="E143" s="3" t="n">
        <x:f>0</x:f>
        <x:v>0</x:v>
      </x:c>
      <x:c r="F143" s="3" t="n">
        <x:f>0</x:f>
        <x:v>0</x:v>
      </x:c>
      <x:c r="G143" s="3" t="n">
        <x:f>0</x:f>
        <x:v>0</x:v>
      </x:c>
      <x:c r="H143" s="3" t="n">
        <x:f>0</x:f>
        <x:v>0</x:v>
      </x:c>
      <x:c r="I143" s="3" t="n">
        <x:f>0</x:f>
        <x:v>0</x:v>
      </x:c>
      <x:c r="J143" s="3" t="n">
        <x:f>0</x:f>
        <x:v>0</x:v>
      </x:c>
      <x:c r="K143" s="3" t="n">
        <x:f>0</x:f>
        <x:v>0</x:v>
      </x:c>
      <x:c r="L143" s="3" t="n">
        <x:f>0</x:f>
        <x:v>0</x:v>
      </x:c>
      <x:c r="M143" s="3" t="n">
        <x:f>0</x:f>
        <x:v>0</x:v>
      </x:c>
      <x:c r="N143" s="3" t="n">
        <x:f>0</x:f>
        <x:v>0</x:v>
      </x:c>
      <x:c r="O143" s="3" t="n">
        <x:f>0</x:f>
        <x:v>0</x:v>
      </x:c>
      <x:c r="P143" s="3" t="n">
        <x:f>0</x:f>
        <x:v>0</x:v>
      </x:c>
      <x:c r="Q143" s="52" t="n">
        <x:f>Q43*('Pricing'!H34*('Pricing'!$D$43*'Compute'!H68+'Pricing'!$E$43*'Compute'!H69+'Pricing'!$F$43*'Compute'!H70)+'Compute'!H71)/4</x:f>
        <x:v>142093.8965376769</x:v>
      </x:c>
      <x:c r="R143" s="52" t="n">
        <x:f>R43*('Pricing'!H34*('Pricing'!$D$43*'Compute'!H68+'Pricing'!$E$43*'Compute'!H69+'Pricing'!$F$43*'Compute'!H70)+'Compute'!H71)/4</x:f>
        <x:v>142093.8965376769</x:v>
      </x:c>
      <x:c r="S143" s="52" t="n">
        <x:f>S43*('Pricing'!H34*('Pricing'!$D$43*'Compute'!H68+'Pricing'!$E$43*'Compute'!H69+'Pricing'!$F$43*'Compute'!H70)+'Compute'!H71)/4</x:f>
        <x:v>142093.8965376769</x:v>
      </x:c>
      <x:c r="T143" s="52" t="n">
        <x:f>T43*('Pricing'!H34*('Pricing'!$D$43*'Compute'!H68+'Pricing'!$E$43*'Compute'!H69+'Pricing'!$F$43*'Compute'!H70)+'Compute'!H71)/4</x:f>
        <x:v>142093.8965376769</x:v>
      </x:c>
    </x:row>
    <x:row r="144" ht="25" customHeight="1">
      <x:c r="A144" s="2"/>
      <x:c r="B144" s="2"/>
      <x:c r="C144" s="32" t="str">
        <x:v>Activated Q2:30</x:v>
      </x:c>
      <x:c r="D144" s="3" t="n">
        <x:f>0</x:f>
        <x:v>0</x:v>
      </x:c>
      <x:c r="E144" s="3" t="n">
        <x:f>0</x:f>
        <x:v>0</x:v>
      </x:c>
      <x:c r="F144" s="3" t="n">
        <x:f>0</x:f>
        <x:v>0</x:v>
      </x:c>
      <x:c r="G144" s="3" t="n">
        <x:f>0</x:f>
        <x:v>0</x:v>
      </x:c>
      <x:c r="H144" s="3" t="n">
        <x:f>0</x:f>
        <x:v>0</x:v>
      </x:c>
      <x:c r="I144" s="3" t="n">
        <x:f>0</x:f>
        <x:v>0</x:v>
      </x:c>
      <x:c r="J144" s="3" t="n">
        <x:f>0</x:f>
        <x:v>0</x:v>
      </x:c>
      <x:c r="K144" s="3" t="n">
        <x:f>0</x:f>
        <x:v>0</x:v>
      </x:c>
      <x:c r="L144" s="3" t="n">
        <x:f>0</x:f>
        <x:v>0</x:v>
      </x:c>
      <x:c r="M144" s="3" t="n">
        <x:f>0</x:f>
        <x:v>0</x:v>
      </x:c>
      <x:c r="N144" s="3" t="n">
        <x:f>0</x:f>
        <x:v>0</x:v>
      </x:c>
      <x:c r="O144" s="3" t="n">
        <x:f>0</x:f>
        <x:v>0</x:v>
      </x:c>
      <x:c r="P144" s="3" t="n">
        <x:f>0</x:f>
        <x:v>0</x:v>
      </x:c>
      <x:c r="Q144" s="3" t="n">
        <x:f>0</x:f>
        <x:v>0</x:v>
      </x:c>
      <x:c r="R144" s="52" t="n">
        <x:f>R44*('Pricing'!H34*('Pricing'!$D$43*'Compute'!H68+'Pricing'!$E$43*'Compute'!H69+'Pricing'!$F$43*'Compute'!H70)+'Compute'!H71)/4</x:f>
        <x:v>202150.8564791384</x:v>
      </x:c>
      <x:c r="S144" s="52" t="n">
        <x:f>S44*('Pricing'!H34*('Pricing'!$D$43*'Compute'!H68+'Pricing'!$E$43*'Compute'!H69+'Pricing'!$F$43*'Compute'!H70)+'Compute'!H71)/4</x:f>
        <x:v>202150.8564791384</x:v>
      </x:c>
      <x:c r="T144" s="52" t="n">
        <x:f>T44*('Pricing'!H34*('Pricing'!$D$43*'Compute'!H68+'Pricing'!$E$43*'Compute'!H69+'Pricing'!$F$43*'Compute'!H70)+'Compute'!H71)/4</x:f>
        <x:v>202150.8564791384</x:v>
      </x:c>
    </x:row>
    <x:row r="145" ht="25" customHeight="1">
      <x:c r="A145" s="2"/>
      <x:c r="B145" s="2"/>
      <x:c r="C145" s="32" t="str">
        <x:v>Activated Q3:30</x:v>
      </x:c>
      <x:c r="D145" s="3" t="n">
        <x:f>0</x:f>
        <x:v>0</x:v>
      </x:c>
      <x:c r="E145" s="3" t="n">
        <x:f>0</x:f>
        <x:v>0</x:v>
      </x:c>
      <x:c r="F145" s="3" t="n">
        <x:f>0</x:f>
        <x:v>0</x:v>
      </x:c>
      <x:c r="G145" s="3" t="n">
        <x:f>0</x:f>
        <x:v>0</x:v>
      </x:c>
      <x:c r="H145" s="3" t="n">
        <x:f>0</x:f>
        <x:v>0</x:v>
      </x:c>
      <x:c r="I145" s="3" t="n">
        <x:f>0</x:f>
        <x:v>0</x:v>
      </x:c>
      <x:c r="J145" s="3" t="n">
        <x:f>0</x:f>
        <x:v>0</x:v>
      </x:c>
      <x:c r="K145" s="3" t="n">
        <x:f>0</x:f>
        <x:v>0</x:v>
      </x:c>
      <x:c r="L145" s="3" t="n">
        <x:f>0</x:f>
        <x:v>0</x:v>
      </x:c>
      <x:c r="M145" s="3" t="n">
        <x:f>0</x:f>
        <x:v>0</x:v>
      </x:c>
      <x:c r="N145" s="3" t="n">
        <x:f>0</x:f>
        <x:v>0</x:v>
      </x:c>
      <x:c r="O145" s="3" t="n">
        <x:f>0</x:f>
        <x:v>0</x:v>
      </x:c>
      <x:c r="P145" s="3" t="n">
        <x:f>0</x:f>
        <x:v>0</x:v>
      </x:c>
      <x:c r="Q145" s="3" t="n">
        <x:f>0</x:f>
        <x:v>0</x:v>
      </x:c>
      <x:c r="R145" s="3" t="n">
        <x:f>0</x:f>
        <x:v>0</x:v>
      </x:c>
      <x:c r="S145" s="52" t="n">
        <x:f>S45*('Pricing'!H34*('Pricing'!$D$43*'Compute'!H68+'Pricing'!$E$43*'Compute'!H69+'Pricing'!$F$43*'Compute'!H70)+'Compute'!H71)/4</x:f>
        <x:v>227328.1480430632</x:v>
      </x:c>
      <x:c r="T145" s="52" t="n">
        <x:f>T45*('Pricing'!H34*('Pricing'!$D$43*'Compute'!H68+'Pricing'!$E$43*'Compute'!H69+'Pricing'!$F$43*'Compute'!H70)+'Compute'!H71)/4</x:f>
        <x:v>227328.1480430632</x:v>
      </x:c>
    </x:row>
    <x:row r="146" ht="25" customHeight="1">
      <x:c r="A146" s="2"/>
      <x:c r="B146" s="2"/>
      <x:c r="C146" s="32" t="str">
        <x:v>Activated Q4:30</x:v>
      </x:c>
      <x:c r="D146" s="3" t="n">
        <x:f>0</x:f>
        <x:v>0</x:v>
      </x:c>
      <x:c r="E146" s="3" t="n">
        <x:f>0</x:f>
        <x:v>0</x:v>
      </x:c>
      <x:c r="F146" s="3" t="n">
        <x:f>0</x:f>
        <x:v>0</x:v>
      </x:c>
      <x:c r="G146" s="3" t="n">
        <x:f>0</x:f>
        <x:v>0</x:v>
      </x:c>
      <x:c r="H146" s="3" t="n">
        <x:f>0</x:f>
        <x:v>0</x:v>
      </x:c>
      <x:c r="I146" s="3" t="n">
        <x:f>0</x:f>
        <x:v>0</x:v>
      </x:c>
      <x:c r="J146" s="3" t="n">
        <x:f>0</x:f>
        <x:v>0</x:v>
      </x:c>
      <x:c r="K146" s="3" t="n">
        <x:f>0</x:f>
        <x:v>0</x:v>
      </x:c>
      <x:c r="L146" s="3" t="n">
        <x:f>0</x:f>
        <x:v>0</x:v>
      </x:c>
      <x:c r="M146" s="3" t="n">
        <x:f>0</x:f>
        <x:v>0</x:v>
      </x:c>
      <x:c r="N146" s="3" t="n">
        <x:f>0</x:f>
        <x:v>0</x:v>
      </x:c>
      <x:c r="O146" s="3" t="n">
        <x:f>0</x:f>
        <x:v>0</x:v>
      </x:c>
      <x:c r="P146" s="3" t="n">
        <x:f>0</x:f>
        <x:v>0</x:v>
      </x:c>
      <x:c r="Q146" s="3" t="n">
        <x:f>0</x:f>
        <x:v>0</x:v>
      </x:c>
      <x:c r="R146" s="3" t="n">
        <x:f>0</x:f>
        <x:v>0</x:v>
      </x:c>
      <x:c r="S146" s="3" t="n">
        <x:f>0</x:f>
        <x:v>0</x:v>
      </x:c>
      <x:c r="T146" s="52" t="n">
        <x:f>T46*('Pricing'!H34*('Pricing'!$D$43*'Compute'!H68+'Pricing'!$E$43*'Compute'!H69+'Pricing'!$F$43*'Compute'!H70)+'Compute'!H71)/4</x:f>
        <x:v>190524.30035329287</x:v>
      </x:c>
    </x:row>
    <x:row r="147" ht="25" customHeight="1">
      <x:c r="A147" s="2"/>
      <x:c r="B147" s="2"/>
      <x:c r="C147" s="32"/>
      <x:c r="D147" s="3"/>
      <x:c r="E147" s="3"/>
      <x:c r="F147" s="3"/>
      <x:c r="G147" s="3"/>
      <x:c r="H147" s="3"/>
      <x:c r="I147" s="3"/>
      <x:c r="J147" s="3"/>
      <x:c r="K147" s="3"/>
      <x:c r="L147" s="3"/>
      <x:c r="M147" s="3"/>
      <x:c r="N147" s="3"/>
      <x:c r="O147" s="3"/>
      <x:c r="P147" s="3"/>
      <x:c r="Q147" s="3"/>
      <x:c r="R147" s="3"/>
      <x:c r="S147" s="3"/>
      <x:c r="T147" s="3"/>
    </x:row>
    <x:row r="148" ht="25" customHeight="1">
      <x:c r="A148" s="2"/>
      <x:c r="B148" s="2"/>
      <x:c r="C148" s="32"/>
      <x:c r="D148" s="3"/>
      <x:c r="E148" s="3"/>
      <x:c r="F148" s="3"/>
      <x:c r="G148" s="3"/>
      <x:c r="H148" s="3"/>
      <x:c r="I148" s="3"/>
      <x:c r="J148" s="3"/>
      <x:c r="K148" s="3"/>
      <x:c r="L148" s="3"/>
      <x:c r="M148" s="3"/>
      <x:c r="N148" s="3"/>
      <x:c r="O148" s="3"/>
      <x:c r="P148" s="3"/>
      <x:c r="Q148" s="3"/>
      <x:c r="R148" s="3"/>
      <x:c r="S148" s="3"/>
      <x:c r="T148" s="3"/>
    </x:row>
    <x:row r="149" ht="27" customHeight="1">
      <x:c r="A149" s="2"/>
      <x:c r="B149" s="2"/>
      <x:c r="C149" s="61" t="str">
        <x:v>Customer-borne local cost, outside Uniio P&amp;L</x:v>
      </x:c>
      <x:c r="D149" s="15"/>
      <x:c r="E149" s="15"/>
      <x:c r="F149" s="15"/>
      <x:c r="G149" s="15"/>
      <x:c r="H149" s="15"/>
      <x:c r="I149" s="15"/>
      <x:c r="J149" s="15"/>
      <x:c r="K149" s="15"/>
      <x:c r="L149" s="15"/>
      <x:c r="M149" s="15"/>
      <x:c r="N149" s="15"/>
      <x:c r="O149" s="15"/>
      <x:c r="P149" s="15"/>
      <x:c r="Q149" s="15"/>
      <x:c r="R149" s="15"/>
      <x:c r="S149" s="15"/>
      <x:c r="T149" s="15"/>
    </x:row>
    <x:row r="150" ht="25" customHeight="1">
      <x:c r="A150" s="2"/>
      <x:c r="B150" s="2"/>
      <x:c r="C150" s="32" t="str">
        <x:v>Activated Q4:26</x:v>
      </x:c>
      <x:c r="D150" s="52" t="n">
        <x:f>D30*('Compute'!D72+'Pricing'!D34*'Compute'!D73*('Pricing'!$D$43+'Pricing'!$E$43*'Compute'!$D$48+'Pricing'!$F$43*'Compute'!$D$49))/4</x:f>
        <x:v>0</x:v>
      </x:c>
      <x:c r="E150" s="52" t="n">
        <x:f>E30*('Compute'!E72+'Pricing'!D34*'Compute'!E73*('Pricing'!$D$43+'Pricing'!$E$43*'Compute'!$D$48+'Pricing'!$F$43*'Compute'!$D$49))/4</x:f>
        <x:v>0</x:v>
      </x:c>
      <x:c r="F150" s="52" t="n">
        <x:f>F30*('Compute'!E72+'Pricing'!D34*'Compute'!E73*('Pricing'!$D$43+'Pricing'!$E$43*'Compute'!$D$48+'Pricing'!$F$43*'Compute'!$D$49))/4</x:f>
        <x:v>0</x:v>
      </x:c>
      <x:c r="G150" s="52" t="n">
        <x:f>G30*('Compute'!E72+'Pricing'!D34*'Compute'!E73*('Pricing'!$D$43+'Pricing'!$E$43*'Compute'!$D$48+'Pricing'!$F$43*'Compute'!$D$49))/4</x:f>
        <x:v>0</x:v>
      </x:c>
      <x:c r="H150" s="52" t="n">
        <x:f>H30*('Compute'!E72+'Pricing'!D34*'Compute'!E73*('Pricing'!$D$44+'Pricing'!$E$44*'Compute'!$D$48+'Pricing'!$F$44*'Compute'!$D$49))/4</x:f>
        <x:v>0</x:v>
      </x:c>
      <x:c r="I150" s="52" t="n">
        <x:f>I30*('Compute'!F72+'Pricing'!D34*'Compute'!F73*('Pricing'!$D$44+'Pricing'!$E$44*'Compute'!$D$48+'Pricing'!$F$44*'Compute'!$D$49))/4</x:f>
        <x:v>0</x:v>
      </x:c>
      <x:c r="J150" s="52" t="n">
        <x:f>J30*('Compute'!F72+'Pricing'!D34*'Compute'!F73*('Pricing'!$D$44+'Pricing'!$E$44*'Compute'!$D$48+'Pricing'!$F$44*'Compute'!$D$49))/4</x:f>
        <x:v>0</x:v>
      </x:c>
      <x:c r="K150" s="52" t="n">
        <x:f>K30*('Compute'!F72+'Pricing'!D34*'Compute'!F73*('Pricing'!$D$44+'Pricing'!$E$44*'Compute'!$D$48+'Pricing'!$F$44*'Compute'!$D$49))/4</x:f>
        <x:v>0</x:v>
      </x:c>
      <x:c r="L150" s="52" t="n">
        <x:f>L30*('Compute'!F72+'Pricing'!D34*'Compute'!F73*('Pricing'!$D$45+'Pricing'!$E$45*'Compute'!$D$48+'Pricing'!$F$45*'Compute'!$D$49))/4</x:f>
        <x:v>0</x:v>
      </x:c>
      <x:c r="M150" s="52" t="n">
        <x:f>M30*('Compute'!G72+'Pricing'!D34*'Compute'!G73*('Pricing'!$D$45+'Pricing'!$E$45*'Compute'!$D$48+'Pricing'!$F$45*'Compute'!$D$49))/4</x:f>
        <x:v>0</x:v>
      </x:c>
      <x:c r="N150" s="52" t="n">
        <x:f>N30*('Compute'!G72+'Pricing'!D34*'Compute'!G73*('Pricing'!$D$45+'Pricing'!$E$45*'Compute'!$D$48+'Pricing'!$F$45*'Compute'!$D$49))/4</x:f>
        <x:v>0</x:v>
      </x:c>
      <x:c r="O150" s="52" t="n">
        <x:f>O30*('Compute'!G72+'Pricing'!D34*'Compute'!G73*('Pricing'!$D$45+'Pricing'!$E$45*'Compute'!$D$48+'Pricing'!$F$45*'Compute'!$D$49))/4</x:f>
        <x:v>0</x:v>
      </x:c>
      <x:c r="P150" s="52" t="n">
        <x:f>P30*('Compute'!G72+'Pricing'!D34*'Compute'!G73*('Pricing'!$D$46+'Pricing'!$E$46*'Compute'!$D$48+'Pricing'!$F$46*'Compute'!$D$49))/4</x:f>
        <x:v>0</x:v>
      </x:c>
      <x:c r="Q150" s="52" t="n">
        <x:f>Q30*('Compute'!H72+'Pricing'!D34*'Compute'!H73*('Pricing'!$D$46+'Pricing'!$E$46*'Compute'!$D$48+'Pricing'!$F$46*'Compute'!$D$49))/4</x:f>
        <x:v>0</x:v>
      </x:c>
      <x:c r="R150" s="52" t="n">
        <x:f>R30*('Compute'!H72+'Pricing'!D34*'Compute'!H73*('Pricing'!$D$46+'Pricing'!$E$46*'Compute'!$D$48+'Pricing'!$F$46*'Compute'!$D$49))/4</x:f>
        <x:v>0</x:v>
      </x:c>
      <x:c r="S150" s="52" t="n">
        <x:f>S30*('Compute'!H72+'Pricing'!D34*'Compute'!H73*('Pricing'!$D$46+'Pricing'!$E$46*'Compute'!$D$48+'Pricing'!$F$46*'Compute'!$D$49))/4</x:f>
        <x:v>0</x:v>
      </x:c>
      <x:c r="T150" s="52" t="n">
        <x:f>T30*('Compute'!H72+'Pricing'!D34*'Compute'!H73*('Pricing'!$D$46+'Pricing'!$E$46*'Compute'!$D$48+'Pricing'!$F$46*'Compute'!$D$49))/4</x:f>
        <x:v>0</x:v>
      </x:c>
    </x:row>
    <x:row r="151" ht="25" customHeight="1">
      <x:c r="A151" s="2"/>
      <x:c r="B151" s="2"/>
      <x:c r="C151" s="32" t="str">
        <x:v>Activated Q1:27</x:v>
      </x:c>
      <x:c r="D151" s="3" t="n">
        <x:f>0</x:f>
        <x:v>0</x:v>
      </x:c>
      <x:c r="E151" s="52" t="n">
        <x:f>E31*('Compute'!E72+'Pricing'!E34*'Compute'!E73*('Pricing'!$D$43+'Pricing'!$E$43*'Compute'!$D$48+'Pricing'!$F$43*'Compute'!$D$49))/4</x:f>
        <x:v>0</x:v>
      </x:c>
      <x:c r="F151" s="52" t="n">
        <x:f>F31*('Compute'!E72+'Pricing'!E34*'Compute'!E73*('Pricing'!$D$43+'Pricing'!$E$43*'Compute'!$D$48+'Pricing'!$F$43*'Compute'!$D$49))/4</x:f>
        <x:v>0</x:v>
      </x:c>
      <x:c r="G151" s="52" t="n">
        <x:f>G31*('Compute'!E72+'Pricing'!E34*'Compute'!E73*('Pricing'!$D$43+'Pricing'!$E$43*'Compute'!$D$48+'Pricing'!$F$43*'Compute'!$D$49))/4</x:f>
        <x:v>0</x:v>
      </x:c>
      <x:c r="H151" s="52" t="n">
        <x:f>H31*('Compute'!E72+'Pricing'!E34*'Compute'!E73*('Pricing'!$D$43+'Pricing'!$E$43*'Compute'!$D$48+'Pricing'!$F$43*'Compute'!$D$49))/4</x:f>
        <x:v>0</x:v>
      </x:c>
      <x:c r="I151" s="52" t="n">
        <x:f>I31*('Compute'!F72+'Pricing'!E34*'Compute'!F73*('Pricing'!$D$44+'Pricing'!$E$44*'Compute'!$D$48+'Pricing'!$F$44*'Compute'!$D$49))/4</x:f>
        <x:v>0</x:v>
      </x:c>
      <x:c r="J151" s="52" t="n">
        <x:f>J31*('Compute'!F72+'Pricing'!E34*'Compute'!F73*('Pricing'!$D$44+'Pricing'!$E$44*'Compute'!$D$48+'Pricing'!$F$44*'Compute'!$D$49))/4</x:f>
        <x:v>0</x:v>
      </x:c>
      <x:c r="K151" s="52" t="n">
        <x:f>K31*('Compute'!F72+'Pricing'!E34*'Compute'!F73*('Pricing'!$D$44+'Pricing'!$E$44*'Compute'!$D$48+'Pricing'!$F$44*'Compute'!$D$49))/4</x:f>
        <x:v>0</x:v>
      </x:c>
      <x:c r="L151" s="52" t="n">
        <x:f>L31*('Compute'!F72+'Pricing'!E34*'Compute'!F73*('Pricing'!$D$44+'Pricing'!$E$44*'Compute'!$D$48+'Pricing'!$F$44*'Compute'!$D$49))/4</x:f>
        <x:v>0</x:v>
      </x:c>
      <x:c r="M151" s="52" t="n">
        <x:f>M31*('Compute'!G72+'Pricing'!E34*'Compute'!G73*('Pricing'!$D$45+'Pricing'!$E$45*'Compute'!$D$48+'Pricing'!$F$45*'Compute'!$D$49))/4</x:f>
        <x:v>0</x:v>
      </x:c>
      <x:c r="N151" s="52" t="n">
        <x:f>N31*('Compute'!G72+'Pricing'!E34*'Compute'!G73*('Pricing'!$D$45+'Pricing'!$E$45*'Compute'!$D$48+'Pricing'!$F$45*'Compute'!$D$49))/4</x:f>
        <x:v>0</x:v>
      </x:c>
      <x:c r="O151" s="52" t="n">
        <x:f>O31*('Compute'!G72+'Pricing'!E34*'Compute'!G73*('Pricing'!$D$45+'Pricing'!$E$45*'Compute'!$D$48+'Pricing'!$F$45*'Compute'!$D$49))/4</x:f>
        <x:v>0</x:v>
      </x:c>
      <x:c r="P151" s="52" t="n">
        <x:f>P31*('Compute'!G72+'Pricing'!E34*'Compute'!G73*('Pricing'!$D$45+'Pricing'!$E$45*'Compute'!$D$48+'Pricing'!$F$45*'Compute'!$D$49))/4</x:f>
        <x:v>0</x:v>
      </x:c>
      <x:c r="Q151" s="52" t="n">
        <x:f>Q31*('Compute'!H72+'Pricing'!E34*'Compute'!H73*('Pricing'!$D$46+'Pricing'!$E$46*'Compute'!$D$48+'Pricing'!$F$46*'Compute'!$D$49))/4</x:f>
        <x:v>0</x:v>
      </x:c>
      <x:c r="R151" s="52" t="n">
        <x:f>R31*('Compute'!H72+'Pricing'!E34*'Compute'!H73*('Pricing'!$D$46+'Pricing'!$E$46*'Compute'!$D$48+'Pricing'!$F$46*'Compute'!$D$49))/4</x:f>
        <x:v>0</x:v>
      </x:c>
      <x:c r="S151" s="52" t="n">
        <x:f>S31*('Compute'!H72+'Pricing'!E34*'Compute'!H73*('Pricing'!$D$46+'Pricing'!$E$46*'Compute'!$D$48+'Pricing'!$F$46*'Compute'!$D$49))/4</x:f>
        <x:v>0</x:v>
      </x:c>
      <x:c r="T151" s="52" t="n">
        <x:f>T31*('Compute'!H72+'Pricing'!E34*'Compute'!H73*('Pricing'!$D$46+'Pricing'!$E$46*'Compute'!$D$48+'Pricing'!$F$46*'Compute'!$D$49))/4</x:f>
        <x:v>0</x:v>
      </x:c>
    </x:row>
    <x:row r="152" ht="25" customHeight="1">
      <x:c r="A152" s="2"/>
      <x:c r="B152" s="2"/>
      <x:c r="C152" s="32" t="str">
        <x:v>Activated Q2:27</x:v>
      </x:c>
      <x:c r="D152" s="3" t="n">
        <x:f>0</x:f>
        <x:v>0</x:v>
      </x:c>
      <x:c r="E152" s="3" t="n">
        <x:f>0</x:f>
        <x:v>0</x:v>
      </x:c>
      <x:c r="F152" s="52" t="n">
        <x:f>F32*('Compute'!E72+'Pricing'!E34*'Compute'!E73*('Pricing'!$D$43+'Pricing'!$E$43*'Compute'!$D$48+'Pricing'!$F$43*'Compute'!$D$49))/4</x:f>
        <x:v>0</x:v>
      </x:c>
      <x:c r="G152" s="52" t="n">
        <x:f>G32*('Compute'!E72+'Pricing'!E34*'Compute'!E73*('Pricing'!$D$43+'Pricing'!$E$43*'Compute'!$D$48+'Pricing'!$F$43*'Compute'!$D$49))/4</x:f>
        <x:v>0</x:v>
      </x:c>
      <x:c r="H152" s="52" t="n">
        <x:f>H32*('Compute'!E72+'Pricing'!E34*'Compute'!E73*('Pricing'!$D$43+'Pricing'!$E$43*'Compute'!$D$48+'Pricing'!$F$43*'Compute'!$D$49))/4</x:f>
        <x:v>0</x:v>
      </x:c>
      <x:c r="I152" s="52" t="n">
        <x:f>I32*('Compute'!F72+'Pricing'!E34*'Compute'!F73*('Pricing'!$D$43+'Pricing'!$E$43*'Compute'!$D$48+'Pricing'!$F$43*'Compute'!$D$49))/4</x:f>
        <x:v>0</x:v>
      </x:c>
      <x:c r="J152" s="52" t="n">
        <x:f>J32*('Compute'!F72+'Pricing'!E34*'Compute'!F73*('Pricing'!$D$44+'Pricing'!$E$44*'Compute'!$D$48+'Pricing'!$F$44*'Compute'!$D$49))/4</x:f>
        <x:v>0</x:v>
      </x:c>
      <x:c r="K152" s="52" t="n">
        <x:f>K32*('Compute'!F72+'Pricing'!E34*'Compute'!F73*('Pricing'!$D$44+'Pricing'!$E$44*'Compute'!$D$48+'Pricing'!$F$44*'Compute'!$D$49))/4</x:f>
        <x:v>0</x:v>
      </x:c>
      <x:c r="L152" s="52" t="n">
        <x:f>L32*('Compute'!F72+'Pricing'!E34*'Compute'!F73*('Pricing'!$D$44+'Pricing'!$E$44*'Compute'!$D$48+'Pricing'!$F$44*'Compute'!$D$49))/4</x:f>
        <x:v>0</x:v>
      </x:c>
      <x:c r="M152" s="52" t="n">
        <x:f>M32*('Compute'!G72+'Pricing'!E34*'Compute'!G73*('Pricing'!$D$44+'Pricing'!$E$44*'Compute'!$D$48+'Pricing'!$F$44*'Compute'!$D$49))/4</x:f>
        <x:v>0</x:v>
      </x:c>
      <x:c r="N152" s="52" t="n">
        <x:f>N32*('Compute'!G72+'Pricing'!E34*'Compute'!G73*('Pricing'!$D$45+'Pricing'!$E$45*'Compute'!$D$48+'Pricing'!$F$45*'Compute'!$D$49))/4</x:f>
        <x:v>0</x:v>
      </x:c>
      <x:c r="O152" s="52" t="n">
        <x:f>O32*('Compute'!G72+'Pricing'!E34*'Compute'!G73*('Pricing'!$D$45+'Pricing'!$E$45*'Compute'!$D$48+'Pricing'!$F$45*'Compute'!$D$49))/4</x:f>
        <x:v>0</x:v>
      </x:c>
      <x:c r="P152" s="52" t="n">
        <x:f>P32*('Compute'!G72+'Pricing'!E34*'Compute'!G73*('Pricing'!$D$45+'Pricing'!$E$45*'Compute'!$D$48+'Pricing'!$F$45*'Compute'!$D$49))/4</x:f>
        <x:v>0</x:v>
      </x:c>
      <x:c r="Q152" s="52" t="n">
        <x:f>Q32*('Compute'!H72+'Pricing'!E34*'Compute'!H73*('Pricing'!$D$45+'Pricing'!$E$45*'Compute'!$D$48+'Pricing'!$F$45*'Compute'!$D$49))/4</x:f>
        <x:v>0</x:v>
      </x:c>
      <x:c r="R152" s="52" t="n">
        <x:f>R32*('Compute'!H72+'Pricing'!E34*'Compute'!H73*('Pricing'!$D$46+'Pricing'!$E$46*'Compute'!$D$48+'Pricing'!$F$46*'Compute'!$D$49))/4</x:f>
        <x:v>0</x:v>
      </x:c>
      <x:c r="S152" s="52" t="n">
        <x:f>S32*('Compute'!H72+'Pricing'!E34*'Compute'!H73*('Pricing'!$D$46+'Pricing'!$E$46*'Compute'!$D$48+'Pricing'!$F$46*'Compute'!$D$49))/4</x:f>
        <x:v>0</x:v>
      </x:c>
      <x:c r="T152" s="52" t="n">
        <x:f>T32*('Compute'!H72+'Pricing'!E34*'Compute'!H73*('Pricing'!$D$46+'Pricing'!$E$46*'Compute'!$D$48+'Pricing'!$F$46*'Compute'!$D$49))/4</x:f>
        <x:v>0</x:v>
      </x:c>
    </x:row>
    <x:row r="153" ht="25" customHeight="1">
      <x:c r="A153" s="2"/>
      <x:c r="B153" s="2"/>
      <x:c r="C153" s="32" t="str">
        <x:v>Activated Q3:27</x:v>
      </x:c>
      <x:c r="D153" s="3" t="n">
        <x:f>0</x:f>
        <x:v>0</x:v>
      </x:c>
      <x:c r="E153" s="3" t="n">
        <x:f>0</x:f>
        <x:v>0</x:v>
      </x:c>
      <x:c r="F153" s="3" t="n">
        <x:f>0</x:f>
        <x:v>0</x:v>
      </x:c>
      <x:c r="G153" s="52" t="n">
        <x:f>G33*('Compute'!E72+'Pricing'!E34*'Compute'!E73*('Pricing'!$D$43+'Pricing'!$E$43*'Compute'!$D$48+'Pricing'!$F$43*'Compute'!$D$49))/4</x:f>
        <x:v>0</x:v>
      </x:c>
      <x:c r="H153" s="52" t="n">
        <x:f>H33*('Compute'!E72+'Pricing'!E34*'Compute'!E73*('Pricing'!$D$43+'Pricing'!$E$43*'Compute'!$D$48+'Pricing'!$F$43*'Compute'!$D$49))/4</x:f>
        <x:v>0</x:v>
      </x:c>
      <x:c r="I153" s="52" t="n">
        <x:f>I33*('Compute'!F72+'Pricing'!E34*'Compute'!F73*('Pricing'!$D$43+'Pricing'!$E$43*'Compute'!$D$48+'Pricing'!$F$43*'Compute'!$D$49))/4</x:f>
        <x:v>0</x:v>
      </x:c>
      <x:c r="J153" s="52" t="n">
        <x:f>J33*('Compute'!F72+'Pricing'!E34*'Compute'!F73*('Pricing'!$D$43+'Pricing'!$E$43*'Compute'!$D$48+'Pricing'!$F$43*'Compute'!$D$49))/4</x:f>
        <x:v>0</x:v>
      </x:c>
      <x:c r="K153" s="52" t="n">
        <x:f>K33*('Compute'!F72+'Pricing'!E34*'Compute'!F73*('Pricing'!$D$44+'Pricing'!$E$44*'Compute'!$D$48+'Pricing'!$F$44*'Compute'!$D$49))/4</x:f>
        <x:v>0</x:v>
      </x:c>
      <x:c r="L153" s="52" t="n">
        <x:f>L33*('Compute'!F72+'Pricing'!E34*'Compute'!F73*('Pricing'!$D$44+'Pricing'!$E$44*'Compute'!$D$48+'Pricing'!$F$44*'Compute'!$D$49))/4</x:f>
        <x:v>0</x:v>
      </x:c>
      <x:c r="M153" s="52" t="n">
        <x:f>M33*('Compute'!G72+'Pricing'!E34*'Compute'!G73*('Pricing'!$D$44+'Pricing'!$E$44*'Compute'!$D$48+'Pricing'!$F$44*'Compute'!$D$49))/4</x:f>
        <x:v>0</x:v>
      </x:c>
      <x:c r="N153" s="52" t="n">
        <x:f>N33*('Compute'!G72+'Pricing'!E34*'Compute'!G73*('Pricing'!$D$44+'Pricing'!$E$44*'Compute'!$D$48+'Pricing'!$F$44*'Compute'!$D$49))/4</x:f>
        <x:v>0</x:v>
      </x:c>
      <x:c r="O153" s="52" t="n">
        <x:f>O33*('Compute'!G72+'Pricing'!E34*'Compute'!G73*('Pricing'!$D$45+'Pricing'!$E$45*'Compute'!$D$48+'Pricing'!$F$45*'Compute'!$D$49))/4</x:f>
        <x:v>0</x:v>
      </x:c>
      <x:c r="P153" s="52" t="n">
        <x:f>P33*('Compute'!G72+'Pricing'!E34*'Compute'!G73*('Pricing'!$D$45+'Pricing'!$E$45*'Compute'!$D$48+'Pricing'!$F$45*'Compute'!$D$49))/4</x:f>
        <x:v>0</x:v>
      </x:c>
      <x:c r="Q153" s="52" t="n">
        <x:f>Q33*('Compute'!H72+'Pricing'!E34*'Compute'!H73*('Pricing'!$D$45+'Pricing'!$E$45*'Compute'!$D$48+'Pricing'!$F$45*'Compute'!$D$49))/4</x:f>
        <x:v>0</x:v>
      </x:c>
      <x:c r="R153" s="52" t="n">
        <x:f>R33*('Compute'!H72+'Pricing'!E34*'Compute'!H73*('Pricing'!$D$45+'Pricing'!$E$45*'Compute'!$D$48+'Pricing'!$F$45*'Compute'!$D$49))/4</x:f>
        <x:v>0</x:v>
      </x:c>
      <x:c r="S153" s="52" t="n">
        <x:f>S33*('Compute'!H72+'Pricing'!E34*'Compute'!H73*('Pricing'!$D$46+'Pricing'!$E$46*'Compute'!$D$48+'Pricing'!$F$46*'Compute'!$D$49))/4</x:f>
        <x:v>0</x:v>
      </x:c>
      <x:c r="T153" s="52" t="n">
        <x:f>T33*('Compute'!H72+'Pricing'!E34*'Compute'!H73*('Pricing'!$D$46+'Pricing'!$E$46*'Compute'!$D$48+'Pricing'!$F$46*'Compute'!$D$49))/4</x:f>
        <x:v>0</x:v>
      </x:c>
    </x:row>
    <x:row r="154" ht="25" customHeight="1">
      <x:c r="A154" s="2"/>
      <x:c r="B154" s="2"/>
      <x:c r="C154" s="32" t="str">
        <x:v>Activated Q4:27</x:v>
      </x:c>
      <x:c r="D154" s="3" t="n">
        <x:f>0</x:f>
        <x:v>0</x:v>
      </x:c>
      <x:c r="E154" s="3" t="n">
        <x:f>0</x:f>
        <x:v>0</x:v>
      </x:c>
      <x:c r="F154" s="3" t="n">
        <x:f>0</x:f>
        <x:v>0</x:v>
      </x:c>
      <x:c r="G154" s="3" t="n">
        <x:f>0</x:f>
        <x:v>0</x:v>
      </x:c>
      <x:c r="H154" s="52" t="n">
        <x:f>H34*('Compute'!E72+'Pricing'!E34*'Compute'!E73*('Pricing'!$D$43+'Pricing'!$E$43*'Compute'!$D$48+'Pricing'!$F$43*'Compute'!$D$49))/4</x:f>
        <x:v>0</x:v>
      </x:c>
      <x:c r="I154" s="52" t="n">
        <x:f>I34*('Compute'!F72+'Pricing'!E34*'Compute'!F73*('Pricing'!$D$43+'Pricing'!$E$43*'Compute'!$D$48+'Pricing'!$F$43*'Compute'!$D$49))/4</x:f>
        <x:v>0</x:v>
      </x:c>
      <x:c r="J154" s="52" t="n">
        <x:f>J34*('Compute'!F72+'Pricing'!E34*'Compute'!F73*('Pricing'!$D$43+'Pricing'!$E$43*'Compute'!$D$48+'Pricing'!$F$43*'Compute'!$D$49))/4</x:f>
        <x:v>0</x:v>
      </x:c>
      <x:c r="K154" s="52" t="n">
        <x:f>K34*('Compute'!F72+'Pricing'!E34*'Compute'!F73*('Pricing'!$D$43+'Pricing'!$E$43*'Compute'!$D$48+'Pricing'!$F$43*'Compute'!$D$49))/4</x:f>
        <x:v>0</x:v>
      </x:c>
      <x:c r="L154" s="52" t="n">
        <x:f>L34*('Compute'!F72+'Pricing'!E34*'Compute'!F73*('Pricing'!$D$44+'Pricing'!$E$44*'Compute'!$D$48+'Pricing'!$F$44*'Compute'!$D$49))/4</x:f>
        <x:v>0</x:v>
      </x:c>
      <x:c r="M154" s="52" t="n">
        <x:f>M34*('Compute'!G72+'Pricing'!E34*'Compute'!G73*('Pricing'!$D$44+'Pricing'!$E$44*'Compute'!$D$48+'Pricing'!$F$44*'Compute'!$D$49))/4</x:f>
        <x:v>0</x:v>
      </x:c>
      <x:c r="N154" s="52" t="n">
        <x:f>N34*('Compute'!G72+'Pricing'!E34*'Compute'!G73*('Pricing'!$D$44+'Pricing'!$E$44*'Compute'!$D$48+'Pricing'!$F$44*'Compute'!$D$49))/4</x:f>
        <x:v>0</x:v>
      </x:c>
      <x:c r="O154" s="52" t="n">
        <x:f>O34*('Compute'!G72+'Pricing'!E34*'Compute'!G73*('Pricing'!$D$44+'Pricing'!$E$44*'Compute'!$D$48+'Pricing'!$F$44*'Compute'!$D$49))/4</x:f>
        <x:v>0</x:v>
      </x:c>
      <x:c r="P154" s="52" t="n">
        <x:f>P34*('Compute'!G72+'Pricing'!E34*'Compute'!G73*('Pricing'!$D$45+'Pricing'!$E$45*'Compute'!$D$48+'Pricing'!$F$45*'Compute'!$D$49))/4</x:f>
        <x:v>0</x:v>
      </x:c>
      <x:c r="Q154" s="52" t="n">
        <x:f>Q34*('Compute'!H72+'Pricing'!E34*'Compute'!H73*('Pricing'!$D$45+'Pricing'!$E$45*'Compute'!$D$48+'Pricing'!$F$45*'Compute'!$D$49))/4</x:f>
        <x:v>0</x:v>
      </x:c>
      <x:c r="R154" s="52" t="n">
        <x:f>R34*('Compute'!H72+'Pricing'!E34*'Compute'!H73*('Pricing'!$D$45+'Pricing'!$E$45*'Compute'!$D$48+'Pricing'!$F$45*'Compute'!$D$49))/4</x:f>
        <x:v>0</x:v>
      </x:c>
      <x:c r="S154" s="52" t="n">
        <x:f>S34*('Compute'!H72+'Pricing'!E34*'Compute'!H73*('Pricing'!$D$45+'Pricing'!$E$45*'Compute'!$D$48+'Pricing'!$F$45*'Compute'!$D$49))/4</x:f>
        <x:v>0</x:v>
      </x:c>
      <x:c r="T154" s="52" t="n">
        <x:f>T34*('Compute'!H72+'Pricing'!E34*'Compute'!H73*('Pricing'!$D$46+'Pricing'!$E$46*'Compute'!$D$48+'Pricing'!$F$46*'Compute'!$D$49))/4</x:f>
        <x:v>0</x:v>
      </x:c>
    </x:row>
    <x:row r="155" ht="25" customHeight="1">
      <x:c r="A155" s="2"/>
      <x:c r="B155" s="2"/>
      <x:c r="C155" s="32" t="str">
        <x:v>Activated Q1:28</x:v>
      </x:c>
      <x:c r="D155" s="3" t="n">
        <x:f>0</x:f>
        <x:v>0</x:v>
      </x:c>
      <x:c r="E155" s="3" t="n">
        <x:f>0</x:f>
        <x:v>0</x:v>
      </x:c>
      <x:c r="F155" s="3" t="n">
        <x:f>0</x:f>
        <x:v>0</x:v>
      </x:c>
      <x:c r="G155" s="3" t="n">
        <x:f>0</x:f>
        <x:v>0</x:v>
      </x:c>
      <x:c r="H155" s="3" t="n">
        <x:f>0</x:f>
        <x:v>0</x:v>
      </x:c>
      <x:c r="I155" s="52" t="n">
        <x:f>I35*('Compute'!F72+'Pricing'!F34*'Compute'!F73*('Pricing'!$D$43+'Pricing'!$E$43*'Compute'!$D$48+'Pricing'!$F$43*'Compute'!$D$49))/4</x:f>
        <x:v>0</x:v>
      </x:c>
      <x:c r="J155" s="52" t="n">
        <x:f>J35*('Compute'!F72+'Pricing'!F34*'Compute'!F73*('Pricing'!$D$43+'Pricing'!$E$43*'Compute'!$D$48+'Pricing'!$F$43*'Compute'!$D$49))/4</x:f>
        <x:v>0</x:v>
      </x:c>
      <x:c r="K155" s="52" t="n">
        <x:f>K35*('Compute'!F72+'Pricing'!F34*'Compute'!F73*('Pricing'!$D$43+'Pricing'!$E$43*'Compute'!$D$48+'Pricing'!$F$43*'Compute'!$D$49))/4</x:f>
        <x:v>0</x:v>
      </x:c>
      <x:c r="L155" s="52" t="n">
        <x:f>L35*('Compute'!F72+'Pricing'!F34*'Compute'!F73*('Pricing'!$D$43+'Pricing'!$E$43*'Compute'!$D$48+'Pricing'!$F$43*'Compute'!$D$49))/4</x:f>
        <x:v>0</x:v>
      </x:c>
      <x:c r="M155" s="52" t="n">
        <x:f>M35*('Compute'!G72+'Pricing'!F34*'Compute'!G73*('Pricing'!$D$44+'Pricing'!$E$44*'Compute'!$D$48+'Pricing'!$F$44*'Compute'!$D$49))/4</x:f>
        <x:v>0</x:v>
      </x:c>
      <x:c r="N155" s="52" t="n">
        <x:f>N35*('Compute'!G72+'Pricing'!F34*'Compute'!G73*('Pricing'!$D$44+'Pricing'!$E$44*'Compute'!$D$48+'Pricing'!$F$44*'Compute'!$D$49))/4</x:f>
        <x:v>0</x:v>
      </x:c>
      <x:c r="O155" s="52" t="n">
        <x:f>O35*('Compute'!G72+'Pricing'!F34*'Compute'!G73*('Pricing'!$D$44+'Pricing'!$E$44*'Compute'!$D$48+'Pricing'!$F$44*'Compute'!$D$49))/4</x:f>
        <x:v>0</x:v>
      </x:c>
      <x:c r="P155" s="52" t="n">
        <x:f>P35*('Compute'!G72+'Pricing'!F34*'Compute'!G73*('Pricing'!$D$44+'Pricing'!$E$44*'Compute'!$D$48+'Pricing'!$F$44*'Compute'!$D$49))/4</x:f>
        <x:v>0</x:v>
      </x:c>
      <x:c r="Q155" s="52" t="n">
        <x:f>Q35*('Compute'!H72+'Pricing'!F34*'Compute'!H73*('Pricing'!$D$45+'Pricing'!$E$45*'Compute'!$D$48+'Pricing'!$F$45*'Compute'!$D$49))/4</x:f>
        <x:v>0</x:v>
      </x:c>
      <x:c r="R155" s="52" t="n">
        <x:f>R35*('Compute'!H72+'Pricing'!F34*'Compute'!H73*('Pricing'!$D$45+'Pricing'!$E$45*'Compute'!$D$48+'Pricing'!$F$45*'Compute'!$D$49))/4</x:f>
        <x:v>0</x:v>
      </x:c>
      <x:c r="S155" s="52" t="n">
        <x:f>S35*('Compute'!H72+'Pricing'!F34*'Compute'!H73*('Pricing'!$D$45+'Pricing'!$E$45*'Compute'!$D$48+'Pricing'!$F$45*'Compute'!$D$49))/4</x:f>
        <x:v>0</x:v>
      </x:c>
      <x:c r="T155" s="52" t="n">
        <x:f>T35*('Compute'!H72+'Pricing'!F34*'Compute'!H73*('Pricing'!$D$45+'Pricing'!$E$45*'Compute'!$D$48+'Pricing'!$F$45*'Compute'!$D$49))/4</x:f>
        <x:v>0</x:v>
      </x:c>
    </x:row>
    <x:row r="156" ht="25" customHeight="1">
      <x:c r="A156" s="2"/>
      <x:c r="B156" s="2"/>
      <x:c r="C156" s="32" t="str">
        <x:v>Activated Q2:28</x:v>
      </x:c>
      <x:c r="D156" s="3" t="n">
        <x:f>0</x:f>
        <x:v>0</x:v>
      </x:c>
      <x:c r="E156" s="3" t="n">
        <x:f>0</x:f>
        <x:v>0</x:v>
      </x:c>
      <x:c r="F156" s="3" t="n">
        <x:f>0</x:f>
        <x:v>0</x:v>
      </x:c>
      <x:c r="G156" s="3" t="n">
        <x:f>0</x:f>
        <x:v>0</x:v>
      </x:c>
      <x:c r="H156" s="3" t="n">
        <x:f>0</x:f>
        <x:v>0</x:v>
      </x:c>
      <x:c r="I156" s="3" t="n">
        <x:f>0</x:f>
        <x:v>0</x:v>
      </x:c>
      <x:c r="J156" s="52" t="n">
        <x:f>J36*('Compute'!F72+'Pricing'!F34*'Compute'!F73*('Pricing'!$D$43+'Pricing'!$E$43*'Compute'!$D$48+'Pricing'!$F$43*'Compute'!$D$49))/4</x:f>
        <x:v>0</x:v>
      </x:c>
      <x:c r="K156" s="52" t="n">
        <x:f>K36*('Compute'!F72+'Pricing'!F34*'Compute'!F73*('Pricing'!$D$43+'Pricing'!$E$43*'Compute'!$D$48+'Pricing'!$F$43*'Compute'!$D$49))/4</x:f>
        <x:v>0</x:v>
      </x:c>
      <x:c r="L156" s="52" t="n">
        <x:f>L36*('Compute'!F72+'Pricing'!F34*'Compute'!F73*('Pricing'!$D$43+'Pricing'!$E$43*'Compute'!$D$48+'Pricing'!$F$43*'Compute'!$D$49))/4</x:f>
        <x:v>0</x:v>
      </x:c>
      <x:c r="M156" s="52" t="n">
        <x:f>M36*('Compute'!G72+'Pricing'!F34*'Compute'!G73*('Pricing'!$D$43+'Pricing'!$E$43*'Compute'!$D$48+'Pricing'!$F$43*'Compute'!$D$49))/4</x:f>
        <x:v>0</x:v>
      </x:c>
      <x:c r="N156" s="52" t="n">
        <x:f>N36*('Compute'!G72+'Pricing'!F34*'Compute'!G73*('Pricing'!$D$44+'Pricing'!$E$44*'Compute'!$D$48+'Pricing'!$F$44*'Compute'!$D$49))/4</x:f>
        <x:v>0</x:v>
      </x:c>
      <x:c r="O156" s="52" t="n">
        <x:f>O36*('Compute'!G72+'Pricing'!F34*'Compute'!G73*('Pricing'!$D$44+'Pricing'!$E$44*'Compute'!$D$48+'Pricing'!$F$44*'Compute'!$D$49))/4</x:f>
        <x:v>0</x:v>
      </x:c>
      <x:c r="P156" s="52" t="n">
        <x:f>P36*('Compute'!G72+'Pricing'!F34*'Compute'!G73*('Pricing'!$D$44+'Pricing'!$E$44*'Compute'!$D$48+'Pricing'!$F$44*'Compute'!$D$49))/4</x:f>
        <x:v>0</x:v>
      </x:c>
      <x:c r="Q156" s="52" t="n">
        <x:f>Q36*('Compute'!H72+'Pricing'!F34*'Compute'!H73*('Pricing'!$D$44+'Pricing'!$E$44*'Compute'!$D$48+'Pricing'!$F$44*'Compute'!$D$49))/4</x:f>
        <x:v>0</x:v>
      </x:c>
      <x:c r="R156" s="52" t="n">
        <x:f>R36*('Compute'!H72+'Pricing'!F34*'Compute'!H73*('Pricing'!$D$45+'Pricing'!$E$45*'Compute'!$D$48+'Pricing'!$F$45*'Compute'!$D$49))/4</x:f>
        <x:v>0</x:v>
      </x:c>
      <x:c r="S156" s="52" t="n">
        <x:f>S36*('Compute'!H72+'Pricing'!F34*'Compute'!H73*('Pricing'!$D$45+'Pricing'!$E$45*'Compute'!$D$48+'Pricing'!$F$45*'Compute'!$D$49))/4</x:f>
        <x:v>0</x:v>
      </x:c>
      <x:c r="T156" s="52" t="n">
        <x:f>T36*('Compute'!H72+'Pricing'!F34*'Compute'!H73*('Pricing'!$D$45+'Pricing'!$E$45*'Compute'!$D$48+'Pricing'!$F$45*'Compute'!$D$49))/4</x:f>
        <x:v>0</x:v>
      </x:c>
    </x:row>
    <x:row r="157" ht="25" customHeight="1">
      <x:c r="A157" s="2"/>
      <x:c r="B157" s="2"/>
      <x:c r="C157" s="32" t="str">
        <x:v>Activated Q3:28</x:v>
      </x:c>
      <x:c r="D157" s="3" t="n">
        <x:f>0</x:f>
        <x:v>0</x:v>
      </x:c>
      <x:c r="E157" s="3" t="n">
        <x:f>0</x:f>
        <x:v>0</x:v>
      </x:c>
      <x:c r="F157" s="3" t="n">
        <x:f>0</x:f>
        <x:v>0</x:v>
      </x:c>
      <x:c r="G157" s="3" t="n">
        <x:f>0</x:f>
        <x:v>0</x:v>
      </x:c>
      <x:c r="H157" s="3" t="n">
        <x:f>0</x:f>
        <x:v>0</x:v>
      </x:c>
      <x:c r="I157" s="3" t="n">
        <x:f>0</x:f>
        <x:v>0</x:v>
      </x:c>
      <x:c r="J157" s="3" t="n">
        <x:f>0</x:f>
        <x:v>0</x:v>
      </x:c>
      <x:c r="K157" s="52" t="n">
        <x:f>K37*('Compute'!F72+'Pricing'!F34*'Compute'!F73*('Pricing'!$D$43+'Pricing'!$E$43*'Compute'!$D$48+'Pricing'!$F$43*'Compute'!$D$49))/4</x:f>
        <x:v>0</x:v>
      </x:c>
      <x:c r="L157" s="52" t="n">
        <x:f>L37*('Compute'!F72+'Pricing'!F34*'Compute'!F73*('Pricing'!$D$43+'Pricing'!$E$43*'Compute'!$D$48+'Pricing'!$F$43*'Compute'!$D$49))/4</x:f>
        <x:v>0</x:v>
      </x:c>
      <x:c r="M157" s="52" t="n">
        <x:f>M37*('Compute'!G72+'Pricing'!F34*'Compute'!G73*('Pricing'!$D$43+'Pricing'!$E$43*'Compute'!$D$48+'Pricing'!$F$43*'Compute'!$D$49))/4</x:f>
        <x:v>0</x:v>
      </x:c>
      <x:c r="N157" s="52" t="n">
        <x:f>N37*('Compute'!G72+'Pricing'!F34*'Compute'!G73*('Pricing'!$D$43+'Pricing'!$E$43*'Compute'!$D$48+'Pricing'!$F$43*'Compute'!$D$49))/4</x:f>
        <x:v>0</x:v>
      </x:c>
      <x:c r="O157" s="52" t="n">
        <x:f>O37*('Compute'!G72+'Pricing'!F34*'Compute'!G73*('Pricing'!$D$44+'Pricing'!$E$44*'Compute'!$D$48+'Pricing'!$F$44*'Compute'!$D$49))/4</x:f>
        <x:v>0</x:v>
      </x:c>
      <x:c r="P157" s="52" t="n">
        <x:f>P37*('Compute'!G72+'Pricing'!F34*'Compute'!G73*('Pricing'!$D$44+'Pricing'!$E$44*'Compute'!$D$48+'Pricing'!$F$44*'Compute'!$D$49))/4</x:f>
        <x:v>0</x:v>
      </x:c>
      <x:c r="Q157" s="52" t="n">
        <x:f>Q37*('Compute'!H72+'Pricing'!F34*'Compute'!H73*('Pricing'!$D$44+'Pricing'!$E$44*'Compute'!$D$48+'Pricing'!$F$44*'Compute'!$D$49))/4</x:f>
        <x:v>0</x:v>
      </x:c>
      <x:c r="R157" s="52" t="n">
        <x:f>R37*('Compute'!H72+'Pricing'!F34*'Compute'!H73*('Pricing'!$D$44+'Pricing'!$E$44*'Compute'!$D$48+'Pricing'!$F$44*'Compute'!$D$49))/4</x:f>
        <x:v>0</x:v>
      </x:c>
      <x:c r="S157" s="52" t="n">
        <x:f>S37*('Compute'!H72+'Pricing'!F34*'Compute'!H73*('Pricing'!$D$45+'Pricing'!$E$45*'Compute'!$D$48+'Pricing'!$F$45*'Compute'!$D$49))/4</x:f>
        <x:v>0</x:v>
      </x:c>
      <x:c r="T157" s="52" t="n">
        <x:f>T37*('Compute'!H72+'Pricing'!F34*'Compute'!H73*('Pricing'!$D$45+'Pricing'!$E$45*'Compute'!$D$48+'Pricing'!$F$45*'Compute'!$D$49))/4</x:f>
        <x:v>0</x:v>
      </x:c>
    </x:row>
    <x:row r="158" ht="25" customHeight="1">
      <x:c r="A158" s="2"/>
      <x:c r="B158" s="2"/>
      <x:c r="C158" s="32" t="str">
        <x:v>Activated Q4:28</x:v>
      </x:c>
      <x:c r="D158" s="3" t="n">
        <x:f>0</x:f>
        <x:v>0</x:v>
      </x:c>
      <x:c r="E158" s="3" t="n">
        <x:f>0</x:f>
        <x:v>0</x:v>
      </x:c>
      <x:c r="F158" s="3" t="n">
        <x:f>0</x:f>
        <x:v>0</x:v>
      </x:c>
      <x:c r="G158" s="3" t="n">
        <x:f>0</x:f>
        <x:v>0</x:v>
      </x:c>
      <x:c r="H158" s="3" t="n">
        <x:f>0</x:f>
        <x:v>0</x:v>
      </x:c>
      <x:c r="I158" s="3" t="n">
        <x:f>0</x:f>
        <x:v>0</x:v>
      </x:c>
      <x:c r="J158" s="3" t="n">
        <x:f>0</x:f>
        <x:v>0</x:v>
      </x:c>
      <x:c r="K158" s="3" t="n">
        <x:f>0</x:f>
        <x:v>0</x:v>
      </x:c>
      <x:c r="L158" s="52" t="n">
        <x:f>L38*('Compute'!F72+'Pricing'!F34*'Compute'!F73*('Pricing'!$D$43+'Pricing'!$E$43*'Compute'!$D$48+'Pricing'!$F$43*'Compute'!$D$49))/4</x:f>
        <x:v>0</x:v>
      </x:c>
      <x:c r="M158" s="52" t="n">
        <x:f>M38*('Compute'!G72+'Pricing'!F34*'Compute'!G73*('Pricing'!$D$43+'Pricing'!$E$43*'Compute'!$D$48+'Pricing'!$F$43*'Compute'!$D$49))/4</x:f>
        <x:v>0</x:v>
      </x:c>
      <x:c r="N158" s="52" t="n">
        <x:f>N38*('Compute'!G72+'Pricing'!F34*'Compute'!G73*('Pricing'!$D$43+'Pricing'!$E$43*'Compute'!$D$48+'Pricing'!$F$43*'Compute'!$D$49))/4</x:f>
        <x:v>0</x:v>
      </x:c>
      <x:c r="O158" s="52" t="n">
        <x:f>O38*('Compute'!G72+'Pricing'!F34*'Compute'!G73*('Pricing'!$D$43+'Pricing'!$E$43*'Compute'!$D$48+'Pricing'!$F$43*'Compute'!$D$49))/4</x:f>
        <x:v>0</x:v>
      </x:c>
      <x:c r="P158" s="52" t="n">
        <x:f>P38*('Compute'!G72+'Pricing'!F34*'Compute'!G73*('Pricing'!$D$44+'Pricing'!$E$44*'Compute'!$D$48+'Pricing'!$F$44*'Compute'!$D$49))/4</x:f>
        <x:v>0</x:v>
      </x:c>
      <x:c r="Q158" s="52" t="n">
        <x:f>Q38*('Compute'!H72+'Pricing'!F34*'Compute'!H73*('Pricing'!$D$44+'Pricing'!$E$44*'Compute'!$D$48+'Pricing'!$F$44*'Compute'!$D$49))/4</x:f>
        <x:v>0</x:v>
      </x:c>
      <x:c r="R158" s="52" t="n">
        <x:f>R38*('Compute'!H72+'Pricing'!F34*'Compute'!H73*('Pricing'!$D$44+'Pricing'!$E$44*'Compute'!$D$48+'Pricing'!$F$44*'Compute'!$D$49))/4</x:f>
        <x:v>0</x:v>
      </x:c>
      <x:c r="S158" s="52" t="n">
        <x:f>S38*('Compute'!H72+'Pricing'!F34*'Compute'!H73*('Pricing'!$D$44+'Pricing'!$E$44*'Compute'!$D$48+'Pricing'!$F$44*'Compute'!$D$49))/4</x:f>
        <x:v>0</x:v>
      </x:c>
      <x:c r="T158" s="52" t="n">
        <x:f>T38*('Compute'!H72+'Pricing'!F34*'Compute'!H73*('Pricing'!$D$45+'Pricing'!$E$45*'Compute'!$D$48+'Pricing'!$F$45*'Compute'!$D$49))/4</x:f>
        <x:v>0</x:v>
      </x:c>
    </x:row>
    <x:row r="159" ht="25" customHeight="1">
      <x:c r="A159" s="2"/>
      <x:c r="B159" s="2"/>
      <x:c r="C159" s="32" t="str">
        <x:v>Activated Q1:29</x:v>
      </x:c>
      <x:c r="D159" s="3" t="n">
        <x:f>0</x:f>
        <x:v>0</x:v>
      </x:c>
      <x:c r="E159" s="3" t="n">
        <x:f>0</x:f>
        <x:v>0</x:v>
      </x:c>
      <x:c r="F159" s="3" t="n">
        <x:f>0</x:f>
        <x:v>0</x:v>
      </x:c>
      <x:c r="G159" s="3" t="n">
        <x:f>0</x:f>
        <x:v>0</x:v>
      </x:c>
      <x:c r="H159" s="3" t="n">
        <x:f>0</x:f>
        <x:v>0</x:v>
      </x:c>
      <x:c r="I159" s="3" t="n">
        <x:f>0</x:f>
        <x:v>0</x:v>
      </x:c>
      <x:c r="J159" s="3" t="n">
        <x:f>0</x:f>
        <x:v>0</x:v>
      </x:c>
      <x:c r="K159" s="3" t="n">
        <x:f>0</x:f>
        <x:v>0</x:v>
      </x:c>
      <x:c r="L159" s="3" t="n">
        <x:f>0</x:f>
        <x:v>0</x:v>
      </x:c>
      <x:c r="M159" s="52" t="n">
        <x:f>M39*('Compute'!G72+'Pricing'!G34*'Compute'!G73*('Pricing'!$D$43+'Pricing'!$E$43*'Compute'!$D$48+'Pricing'!$F$43*'Compute'!$D$49))/4</x:f>
        <x:v>0</x:v>
      </x:c>
      <x:c r="N159" s="52" t="n">
        <x:f>N39*('Compute'!G72+'Pricing'!G34*'Compute'!G73*('Pricing'!$D$43+'Pricing'!$E$43*'Compute'!$D$48+'Pricing'!$F$43*'Compute'!$D$49))/4</x:f>
        <x:v>0</x:v>
      </x:c>
      <x:c r="O159" s="52" t="n">
        <x:f>O39*('Compute'!G72+'Pricing'!G34*'Compute'!G73*('Pricing'!$D$43+'Pricing'!$E$43*'Compute'!$D$48+'Pricing'!$F$43*'Compute'!$D$49))/4</x:f>
        <x:v>0</x:v>
      </x:c>
      <x:c r="P159" s="52" t="n">
        <x:f>P39*('Compute'!G72+'Pricing'!G34*'Compute'!G73*('Pricing'!$D$43+'Pricing'!$E$43*'Compute'!$D$48+'Pricing'!$F$43*'Compute'!$D$49))/4</x:f>
        <x:v>0</x:v>
      </x:c>
      <x:c r="Q159" s="52" t="n">
        <x:f>Q39*('Compute'!H72+'Pricing'!G34*'Compute'!H73*('Pricing'!$D$44+'Pricing'!$E$44*'Compute'!$D$48+'Pricing'!$F$44*'Compute'!$D$49))/4</x:f>
        <x:v>0</x:v>
      </x:c>
      <x:c r="R159" s="52" t="n">
        <x:f>R39*('Compute'!H72+'Pricing'!G34*'Compute'!H73*('Pricing'!$D$44+'Pricing'!$E$44*'Compute'!$D$48+'Pricing'!$F$44*'Compute'!$D$49))/4</x:f>
        <x:v>0</x:v>
      </x:c>
      <x:c r="S159" s="52" t="n">
        <x:f>S39*('Compute'!H72+'Pricing'!G34*'Compute'!H73*('Pricing'!$D$44+'Pricing'!$E$44*'Compute'!$D$48+'Pricing'!$F$44*'Compute'!$D$49))/4</x:f>
        <x:v>0</x:v>
      </x:c>
      <x:c r="T159" s="52" t="n">
        <x:f>T39*('Compute'!H72+'Pricing'!G34*'Compute'!H73*('Pricing'!$D$44+'Pricing'!$E$44*'Compute'!$D$48+'Pricing'!$F$44*'Compute'!$D$49))/4</x:f>
        <x:v>0</x:v>
      </x:c>
    </x:row>
    <x:row r="160" ht="25" customHeight="1">
      <x:c r="A160" s="2"/>
      <x:c r="B160" s="2"/>
      <x:c r="C160" s="32" t="str">
        <x:v>Activated Q2:29</x:v>
      </x:c>
      <x:c r="D160" s="3" t="n">
        <x:f>0</x:f>
        <x:v>0</x:v>
      </x:c>
      <x:c r="E160" s="3" t="n">
        <x:f>0</x:f>
        <x:v>0</x:v>
      </x:c>
      <x:c r="F160" s="3" t="n">
        <x:f>0</x:f>
        <x:v>0</x:v>
      </x:c>
      <x:c r="G160" s="3" t="n">
        <x:f>0</x:f>
        <x:v>0</x:v>
      </x:c>
      <x:c r="H160" s="3" t="n">
        <x:f>0</x:f>
        <x:v>0</x:v>
      </x:c>
      <x:c r="I160" s="3" t="n">
        <x:f>0</x:f>
        <x:v>0</x:v>
      </x:c>
      <x:c r="J160" s="3" t="n">
        <x:f>0</x:f>
        <x:v>0</x:v>
      </x:c>
      <x:c r="K160" s="3" t="n">
        <x:f>0</x:f>
        <x:v>0</x:v>
      </x:c>
      <x:c r="L160" s="3" t="n">
        <x:f>0</x:f>
        <x:v>0</x:v>
      </x:c>
      <x:c r="M160" s="3" t="n">
        <x:f>0</x:f>
        <x:v>0</x:v>
      </x:c>
      <x:c r="N160" s="52" t="n">
        <x:f>N40*('Compute'!G72+'Pricing'!G34*'Compute'!G73*('Pricing'!$D$43+'Pricing'!$E$43*'Compute'!$D$48+'Pricing'!$F$43*'Compute'!$D$49))/4</x:f>
        <x:v>0</x:v>
      </x:c>
      <x:c r="O160" s="52" t="n">
        <x:f>O40*('Compute'!G72+'Pricing'!G34*'Compute'!G73*('Pricing'!$D$43+'Pricing'!$E$43*'Compute'!$D$48+'Pricing'!$F$43*'Compute'!$D$49))/4</x:f>
        <x:v>0</x:v>
      </x:c>
      <x:c r="P160" s="52" t="n">
        <x:f>P40*('Compute'!G72+'Pricing'!G34*'Compute'!G73*('Pricing'!$D$43+'Pricing'!$E$43*'Compute'!$D$48+'Pricing'!$F$43*'Compute'!$D$49))/4</x:f>
        <x:v>0</x:v>
      </x:c>
      <x:c r="Q160" s="52" t="n">
        <x:f>Q40*('Compute'!H72+'Pricing'!G34*'Compute'!H73*('Pricing'!$D$43+'Pricing'!$E$43*'Compute'!$D$48+'Pricing'!$F$43*'Compute'!$D$49))/4</x:f>
        <x:v>0</x:v>
      </x:c>
      <x:c r="R160" s="52" t="n">
        <x:f>R40*('Compute'!H72+'Pricing'!G34*'Compute'!H73*('Pricing'!$D$44+'Pricing'!$E$44*'Compute'!$D$48+'Pricing'!$F$44*'Compute'!$D$49))/4</x:f>
        <x:v>0</x:v>
      </x:c>
      <x:c r="S160" s="52" t="n">
        <x:f>S40*('Compute'!H72+'Pricing'!G34*'Compute'!H73*('Pricing'!$D$44+'Pricing'!$E$44*'Compute'!$D$48+'Pricing'!$F$44*'Compute'!$D$49))/4</x:f>
        <x:v>0</x:v>
      </x:c>
      <x:c r="T160" s="52" t="n">
        <x:f>T40*('Compute'!H72+'Pricing'!G34*'Compute'!H73*('Pricing'!$D$44+'Pricing'!$E$44*'Compute'!$D$48+'Pricing'!$F$44*'Compute'!$D$49))/4</x:f>
        <x:v>0</x:v>
      </x:c>
    </x:row>
    <x:row r="161" ht="25" customHeight="1">
      <x:c r="A161" s="2"/>
      <x:c r="B161" s="2"/>
      <x:c r="C161" s="32" t="str">
        <x:v>Activated Q3:29</x:v>
      </x:c>
      <x:c r="D161" s="3" t="n">
        <x:f>0</x:f>
        <x:v>0</x:v>
      </x:c>
      <x:c r="E161" s="3" t="n">
        <x:f>0</x:f>
        <x:v>0</x:v>
      </x:c>
      <x:c r="F161" s="3" t="n">
        <x:f>0</x:f>
        <x:v>0</x:v>
      </x:c>
      <x:c r="G161" s="3" t="n">
        <x:f>0</x:f>
        <x:v>0</x:v>
      </x:c>
      <x:c r="H161" s="3" t="n">
        <x:f>0</x:f>
        <x:v>0</x:v>
      </x:c>
      <x:c r="I161" s="3" t="n">
        <x:f>0</x:f>
        <x:v>0</x:v>
      </x:c>
      <x:c r="J161" s="3" t="n">
        <x:f>0</x:f>
        <x:v>0</x:v>
      </x:c>
      <x:c r="K161" s="3" t="n">
        <x:f>0</x:f>
        <x:v>0</x:v>
      </x:c>
      <x:c r="L161" s="3" t="n">
        <x:f>0</x:f>
        <x:v>0</x:v>
      </x:c>
      <x:c r="M161" s="3" t="n">
        <x:f>0</x:f>
        <x:v>0</x:v>
      </x:c>
      <x:c r="N161" s="3" t="n">
        <x:f>0</x:f>
        <x:v>0</x:v>
      </x:c>
      <x:c r="O161" s="52" t="n">
        <x:f>O41*('Compute'!G72+'Pricing'!G34*'Compute'!G73*('Pricing'!$D$43+'Pricing'!$E$43*'Compute'!$D$48+'Pricing'!$F$43*'Compute'!$D$49))/4</x:f>
        <x:v>0</x:v>
      </x:c>
      <x:c r="P161" s="52" t="n">
        <x:f>P41*('Compute'!G72+'Pricing'!G34*'Compute'!G73*('Pricing'!$D$43+'Pricing'!$E$43*'Compute'!$D$48+'Pricing'!$F$43*'Compute'!$D$49))/4</x:f>
        <x:v>0</x:v>
      </x:c>
      <x:c r="Q161" s="52" t="n">
        <x:f>Q41*('Compute'!H72+'Pricing'!G34*'Compute'!H73*('Pricing'!$D$43+'Pricing'!$E$43*'Compute'!$D$48+'Pricing'!$F$43*'Compute'!$D$49))/4</x:f>
        <x:v>0</x:v>
      </x:c>
      <x:c r="R161" s="52" t="n">
        <x:f>R41*('Compute'!H72+'Pricing'!G34*'Compute'!H73*('Pricing'!$D$43+'Pricing'!$E$43*'Compute'!$D$48+'Pricing'!$F$43*'Compute'!$D$49))/4</x:f>
        <x:v>0</x:v>
      </x:c>
      <x:c r="S161" s="52" t="n">
        <x:f>S41*('Compute'!H72+'Pricing'!G34*'Compute'!H73*('Pricing'!$D$44+'Pricing'!$E$44*'Compute'!$D$48+'Pricing'!$F$44*'Compute'!$D$49))/4</x:f>
        <x:v>0</x:v>
      </x:c>
      <x:c r="T161" s="52" t="n">
        <x:f>T41*('Compute'!H72+'Pricing'!G34*'Compute'!H73*('Pricing'!$D$44+'Pricing'!$E$44*'Compute'!$D$48+'Pricing'!$F$44*'Compute'!$D$49))/4</x:f>
        <x:v>0</x:v>
      </x:c>
    </x:row>
    <x:row r="162" ht="25" customHeight="1">
      <x:c r="A162" s="2"/>
      <x:c r="B162" s="2"/>
      <x:c r="C162" s="32" t="str">
        <x:v>Activated Q4:29</x:v>
      </x:c>
      <x:c r="D162" s="3" t="n">
        <x:f>0</x:f>
        <x:v>0</x:v>
      </x:c>
      <x:c r="E162" s="3" t="n">
        <x:f>0</x:f>
        <x:v>0</x:v>
      </x:c>
      <x:c r="F162" s="3" t="n">
        <x:f>0</x:f>
        <x:v>0</x:v>
      </x:c>
      <x:c r="G162" s="3" t="n">
        <x:f>0</x:f>
        <x:v>0</x:v>
      </x:c>
      <x:c r="H162" s="3" t="n">
        <x:f>0</x:f>
        <x:v>0</x:v>
      </x:c>
      <x:c r="I162" s="3" t="n">
        <x:f>0</x:f>
        <x:v>0</x:v>
      </x:c>
      <x:c r="J162" s="3" t="n">
        <x:f>0</x:f>
        <x:v>0</x:v>
      </x:c>
      <x:c r="K162" s="3" t="n">
        <x:f>0</x:f>
        <x:v>0</x:v>
      </x:c>
      <x:c r="L162" s="3" t="n">
        <x:f>0</x:f>
        <x:v>0</x:v>
      </x:c>
      <x:c r="M162" s="3" t="n">
        <x:f>0</x:f>
        <x:v>0</x:v>
      </x:c>
      <x:c r="N162" s="3" t="n">
        <x:f>0</x:f>
        <x:v>0</x:v>
      </x:c>
      <x:c r="O162" s="3" t="n">
        <x:f>0</x:f>
        <x:v>0</x:v>
      </x:c>
      <x:c r="P162" s="52" t="n">
        <x:f>P42*('Compute'!G72+'Pricing'!G34*'Compute'!G73*('Pricing'!$D$43+'Pricing'!$E$43*'Compute'!$D$48+'Pricing'!$F$43*'Compute'!$D$49))/4</x:f>
        <x:v>0</x:v>
      </x:c>
      <x:c r="Q162" s="52" t="n">
        <x:f>Q42*('Compute'!H72+'Pricing'!G34*'Compute'!H73*('Pricing'!$D$43+'Pricing'!$E$43*'Compute'!$D$48+'Pricing'!$F$43*'Compute'!$D$49))/4</x:f>
        <x:v>0</x:v>
      </x:c>
      <x:c r="R162" s="52" t="n">
        <x:f>R42*('Compute'!H72+'Pricing'!G34*'Compute'!H73*('Pricing'!$D$43+'Pricing'!$E$43*'Compute'!$D$48+'Pricing'!$F$43*'Compute'!$D$49))/4</x:f>
        <x:v>0</x:v>
      </x:c>
      <x:c r="S162" s="52" t="n">
        <x:f>S42*('Compute'!H72+'Pricing'!G34*'Compute'!H73*('Pricing'!$D$43+'Pricing'!$E$43*'Compute'!$D$48+'Pricing'!$F$43*'Compute'!$D$49))/4</x:f>
        <x:v>0</x:v>
      </x:c>
      <x:c r="T162" s="52" t="n">
        <x:f>T42*('Compute'!H72+'Pricing'!G34*'Compute'!H73*('Pricing'!$D$44+'Pricing'!$E$44*'Compute'!$D$48+'Pricing'!$F$44*'Compute'!$D$49))/4</x:f>
        <x:v>0</x:v>
      </x:c>
    </x:row>
    <x:row r="163" ht="25" customHeight="1">
      <x:c r="A163" s="2"/>
      <x:c r="B163" s="2"/>
      <x:c r="C163" s="32" t="str">
        <x:v>Activated Q1:30</x:v>
      </x:c>
      <x:c r="D163" s="3" t="n">
        <x:f>0</x:f>
        <x:v>0</x:v>
      </x:c>
      <x:c r="E163" s="3" t="n">
        <x:f>0</x:f>
        <x:v>0</x:v>
      </x:c>
      <x:c r="F163" s="3" t="n">
        <x:f>0</x:f>
        <x:v>0</x:v>
      </x:c>
      <x:c r="G163" s="3" t="n">
        <x:f>0</x:f>
        <x:v>0</x:v>
      </x:c>
      <x:c r="H163" s="3" t="n">
        <x:f>0</x:f>
        <x:v>0</x:v>
      </x:c>
      <x:c r="I163" s="3" t="n">
        <x:f>0</x:f>
        <x:v>0</x:v>
      </x:c>
      <x:c r="J163" s="3" t="n">
        <x:f>0</x:f>
        <x:v>0</x:v>
      </x:c>
      <x:c r="K163" s="3" t="n">
        <x:f>0</x:f>
        <x:v>0</x:v>
      </x:c>
      <x:c r="L163" s="3" t="n">
        <x:f>0</x:f>
        <x:v>0</x:v>
      </x:c>
      <x:c r="M163" s="3" t="n">
        <x:f>0</x:f>
        <x:v>0</x:v>
      </x:c>
      <x:c r="N163" s="3" t="n">
        <x:f>0</x:f>
        <x:v>0</x:v>
      </x:c>
      <x:c r="O163" s="3" t="n">
        <x:f>0</x:f>
        <x:v>0</x:v>
      </x:c>
      <x:c r="P163" s="3" t="n">
        <x:f>0</x:f>
        <x:v>0</x:v>
      </x:c>
      <x:c r="Q163" s="52" t="n">
        <x:f>Q43*('Compute'!H72+'Pricing'!H34*'Compute'!H73*('Pricing'!$D$43+'Pricing'!$E$43*'Compute'!$D$48+'Pricing'!$F$43*'Compute'!$D$49))/4</x:f>
        <x:v>0</x:v>
      </x:c>
      <x:c r="R163" s="52" t="n">
        <x:f>R43*('Compute'!H72+'Pricing'!H34*'Compute'!H73*('Pricing'!$D$43+'Pricing'!$E$43*'Compute'!$D$48+'Pricing'!$F$43*'Compute'!$D$49))/4</x:f>
        <x:v>0</x:v>
      </x:c>
      <x:c r="S163" s="52" t="n">
        <x:f>S43*('Compute'!H72+'Pricing'!H34*'Compute'!H73*('Pricing'!$D$43+'Pricing'!$E$43*'Compute'!$D$48+'Pricing'!$F$43*'Compute'!$D$49))/4</x:f>
        <x:v>0</x:v>
      </x:c>
      <x:c r="T163" s="52" t="n">
        <x:f>T43*('Compute'!H72+'Pricing'!H34*'Compute'!H73*('Pricing'!$D$43+'Pricing'!$E$43*'Compute'!$D$48+'Pricing'!$F$43*'Compute'!$D$49))/4</x:f>
        <x:v>0</x:v>
      </x:c>
    </x:row>
    <x:row r="164" ht="25" customHeight="1">
      <x:c r="A164" s="2"/>
      <x:c r="B164" s="2"/>
      <x:c r="C164" s="32" t="str">
        <x:v>Activated Q2:30</x:v>
      </x:c>
      <x:c r="D164" s="3" t="n">
        <x:f>0</x:f>
        <x:v>0</x:v>
      </x:c>
      <x:c r="E164" s="3" t="n">
        <x:f>0</x:f>
        <x:v>0</x:v>
      </x:c>
      <x:c r="F164" s="3" t="n">
        <x:f>0</x:f>
        <x:v>0</x:v>
      </x:c>
      <x:c r="G164" s="3" t="n">
        <x:f>0</x:f>
        <x:v>0</x:v>
      </x:c>
      <x:c r="H164" s="3" t="n">
        <x:f>0</x:f>
        <x:v>0</x:v>
      </x:c>
      <x:c r="I164" s="3" t="n">
        <x:f>0</x:f>
        <x:v>0</x:v>
      </x:c>
      <x:c r="J164" s="3" t="n">
        <x:f>0</x:f>
        <x:v>0</x:v>
      </x:c>
      <x:c r="K164" s="3" t="n">
        <x:f>0</x:f>
        <x:v>0</x:v>
      </x:c>
      <x:c r="L164" s="3" t="n">
        <x:f>0</x:f>
        <x:v>0</x:v>
      </x:c>
      <x:c r="M164" s="3" t="n">
        <x:f>0</x:f>
        <x:v>0</x:v>
      </x:c>
      <x:c r="N164" s="3" t="n">
        <x:f>0</x:f>
        <x:v>0</x:v>
      </x:c>
      <x:c r="O164" s="3" t="n">
        <x:f>0</x:f>
        <x:v>0</x:v>
      </x:c>
      <x:c r="P164" s="3" t="n">
        <x:f>0</x:f>
        <x:v>0</x:v>
      </x:c>
      <x:c r="Q164" s="3" t="n">
        <x:f>0</x:f>
        <x:v>0</x:v>
      </x:c>
      <x:c r="R164" s="52" t="n">
        <x:f>R44*('Compute'!H72+'Pricing'!H34*'Compute'!H73*('Pricing'!$D$43+'Pricing'!$E$43*'Compute'!$D$48+'Pricing'!$F$43*'Compute'!$D$49))/4</x:f>
        <x:v>0</x:v>
      </x:c>
      <x:c r="S164" s="52" t="n">
        <x:f>S44*('Compute'!H72+'Pricing'!H34*'Compute'!H73*('Pricing'!$D$43+'Pricing'!$E$43*'Compute'!$D$48+'Pricing'!$F$43*'Compute'!$D$49))/4</x:f>
        <x:v>0</x:v>
      </x:c>
      <x:c r="T164" s="52" t="n">
        <x:f>T44*('Compute'!H72+'Pricing'!H34*'Compute'!H73*('Pricing'!$D$43+'Pricing'!$E$43*'Compute'!$D$48+'Pricing'!$F$43*'Compute'!$D$49))/4</x:f>
        <x:v>0</x:v>
      </x:c>
    </x:row>
    <x:row r="165" ht="25" customHeight="1">
      <x:c r="A165" s="2"/>
      <x:c r="B165" s="2"/>
      <x:c r="C165" s="32" t="str">
        <x:v>Activated Q3:30</x:v>
      </x:c>
      <x:c r="D165" s="3" t="n">
        <x:f>0</x:f>
        <x:v>0</x:v>
      </x:c>
      <x:c r="E165" s="3" t="n">
        <x:f>0</x:f>
        <x:v>0</x:v>
      </x:c>
      <x:c r="F165" s="3" t="n">
        <x:f>0</x:f>
        <x:v>0</x:v>
      </x:c>
      <x:c r="G165" s="3" t="n">
        <x:f>0</x:f>
        <x:v>0</x:v>
      </x:c>
      <x:c r="H165" s="3" t="n">
        <x:f>0</x:f>
        <x:v>0</x:v>
      </x:c>
      <x:c r="I165" s="3" t="n">
        <x:f>0</x:f>
        <x:v>0</x:v>
      </x:c>
      <x:c r="J165" s="3" t="n">
        <x:f>0</x:f>
        <x:v>0</x:v>
      </x:c>
      <x:c r="K165" s="3" t="n">
        <x:f>0</x:f>
        <x:v>0</x:v>
      </x:c>
      <x:c r="L165" s="3" t="n">
        <x:f>0</x:f>
        <x:v>0</x:v>
      </x:c>
      <x:c r="M165" s="3" t="n">
        <x:f>0</x:f>
        <x:v>0</x:v>
      </x:c>
      <x:c r="N165" s="3" t="n">
        <x:f>0</x:f>
        <x:v>0</x:v>
      </x:c>
      <x:c r="O165" s="3" t="n">
        <x:f>0</x:f>
        <x:v>0</x:v>
      </x:c>
      <x:c r="P165" s="3" t="n">
        <x:f>0</x:f>
        <x:v>0</x:v>
      </x:c>
      <x:c r="Q165" s="3" t="n">
        <x:f>0</x:f>
        <x:v>0</x:v>
      </x:c>
      <x:c r="R165" s="3" t="n">
        <x:f>0</x:f>
        <x:v>0</x:v>
      </x:c>
      <x:c r="S165" s="52" t="n">
        <x:f>S45*('Compute'!H72+'Pricing'!H34*'Compute'!H73*('Pricing'!$D$43+'Pricing'!$E$43*'Compute'!$D$48+'Pricing'!$F$43*'Compute'!$D$49))/4</x:f>
        <x:v>0</x:v>
      </x:c>
      <x:c r="T165" s="52" t="n">
        <x:f>T45*('Compute'!H72+'Pricing'!H34*'Compute'!H73*('Pricing'!$D$43+'Pricing'!$E$43*'Compute'!$D$48+'Pricing'!$F$43*'Compute'!$D$49))/4</x:f>
        <x:v>0</x:v>
      </x:c>
    </x:row>
    <x:row r="166" ht="25" customHeight="1">
      <x:c r="A166" s="2"/>
      <x:c r="B166" s="2"/>
      <x:c r="C166" s="32" t="str">
        <x:v>Activated Q4:30</x:v>
      </x:c>
      <x:c r="D166" s="3" t="n">
        <x:f>0</x:f>
        <x:v>0</x:v>
      </x:c>
      <x:c r="E166" s="3" t="n">
        <x:f>0</x:f>
        <x:v>0</x:v>
      </x:c>
      <x:c r="F166" s="3" t="n">
        <x:f>0</x:f>
        <x:v>0</x:v>
      </x:c>
      <x:c r="G166" s="3" t="n">
        <x:f>0</x:f>
        <x:v>0</x:v>
      </x:c>
      <x:c r="H166" s="3" t="n">
        <x:f>0</x:f>
        <x:v>0</x:v>
      </x:c>
      <x:c r="I166" s="3" t="n">
        <x:f>0</x:f>
        <x:v>0</x:v>
      </x:c>
      <x:c r="J166" s="3" t="n">
        <x:f>0</x:f>
        <x:v>0</x:v>
      </x:c>
      <x:c r="K166" s="3" t="n">
        <x:f>0</x:f>
        <x:v>0</x:v>
      </x:c>
      <x:c r="L166" s="3" t="n">
        <x:f>0</x:f>
        <x:v>0</x:v>
      </x:c>
      <x:c r="M166" s="3" t="n">
        <x:f>0</x:f>
        <x:v>0</x:v>
      </x:c>
      <x:c r="N166" s="3" t="n">
        <x:f>0</x:f>
        <x:v>0</x:v>
      </x:c>
      <x:c r="O166" s="3" t="n">
        <x:f>0</x:f>
        <x:v>0</x:v>
      </x:c>
      <x:c r="P166" s="3" t="n">
        <x:f>0</x:f>
        <x:v>0</x:v>
      </x:c>
      <x:c r="Q166" s="3" t="n">
        <x:f>0</x:f>
        <x:v>0</x:v>
      </x:c>
      <x:c r="R166" s="3" t="n">
        <x:f>0</x:f>
        <x:v>0</x:v>
      </x:c>
      <x:c r="S166" s="3" t="n">
        <x:f>0</x:f>
        <x:v>0</x:v>
      </x:c>
      <x:c r="T166" s="52" t="n">
        <x:f>T46*('Compute'!H72+'Pricing'!H34*'Compute'!H73*('Pricing'!$D$43+'Pricing'!$E$43*'Compute'!$D$48+'Pricing'!$F$43*'Compute'!$D$49))/4</x:f>
        <x:v>0</x:v>
      </x:c>
    </x:row>
    <x:row r="167" ht="25" customHeight="1">
      <x:c r="A167" s="2"/>
      <x:c r="B167" s="2"/>
      <x:c r="C167" s="32"/>
      <x:c r="D167" s="3"/>
      <x:c r="E167" s="3"/>
      <x:c r="F167" s="3"/>
      <x:c r="G167" s="3"/>
      <x:c r="H167" s="3"/>
      <x:c r="I167" s="3"/>
      <x:c r="J167" s="3"/>
      <x:c r="K167" s="3"/>
      <x:c r="L167" s="3"/>
      <x:c r="M167" s="3"/>
      <x:c r="N167" s="3"/>
      <x:c r="O167" s="3"/>
      <x:c r="P167" s="3"/>
      <x:c r="Q167" s="3"/>
      <x:c r="R167" s="3"/>
      <x:c r="S167" s="3"/>
      <x:c r="T167" s="3"/>
    </x:row>
    <x:row r="168" ht="25" customHeight="1">
      <x:c r="A168" s="2"/>
      <x:c r="B168" s="2"/>
      <x:c r="C168" s="32"/>
      <x:c r="D168" s="3"/>
      <x:c r="E168" s="3"/>
      <x:c r="F168" s="3"/>
      <x:c r="G168" s="3"/>
      <x:c r="H168" s="3"/>
      <x:c r="I168" s="3"/>
      <x:c r="J168" s="3"/>
      <x:c r="K168" s="3"/>
      <x:c r="L168" s="3"/>
      <x:c r="M168" s="3"/>
      <x:c r="N168" s="3"/>
      <x:c r="O168" s="3"/>
      <x:c r="P168" s="3"/>
      <x:c r="Q168" s="3"/>
      <x:c r="R168" s="3"/>
      <x:c r="S168" s="3"/>
      <x:c r="T168" s="3"/>
    </x:row>
    <x:row r="169" ht="27" customHeight="1">
      <x:c r="A169" s="2"/>
      <x:c r="B169" s="2"/>
      <x:c r="C169" s="61" t="str">
        <x:v>Initial mapping and total customer revenue</x:v>
      </x:c>
      <x:c r="D169" s="15"/>
      <x:c r="E169" s="15"/>
      <x:c r="F169" s="15"/>
      <x:c r="G169" s="15"/>
      <x:c r="H169" s="15"/>
      <x:c r="I169" s="15"/>
      <x:c r="J169" s="15"/>
      <x:c r="K169" s="15"/>
      <x:c r="L169" s="15"/>
      <x:c r="M169" s="15"/>
      <x:c r="N169" s="15"/>
      <x:c r="O169" s="15"/>
      <x:c r="P169" s="15"/>
      <x:c r="Q169" s="15"/>
      <x:c r="R169" s="15"/>
      <x:c r="S169" s="15"/>
      <x:c r="T169" s="15"/>
    </x:row>
    <x:row r="170" ht="25" customHeight="1">
      <x:c r="A170" s="2"/>
      <x:c r="B170" s="2"/>
      <x:c r="C170" s="32"/>
      <x:c r="D170" s="3"/>
      <x:c r="E170" s="3"/>
      <x:c r="F170" s="3"/>
      <x:c r="G170" s="3"/>
      <x:c r="H170" s="3"/>
      <x:c r="I170" s="3"/>
      <x:c r="J170" s="3"/>
      <x:c r="K170" s="3"/>
      <x:c r="L170" s="3"/>
      <x:c r="M170" s="3"/>
      <x:c r="N170" s="3"/>
      <x:c r="O170" s="3"/>
      <x:c r="P170" s="3"/>
      <x:c r="Q170" s="3"/>
      <x:c r="R170" s="3"/>
      <x:c r="S170" s="3"/>
      <x:c r="T170" s="3"/>
    </x:row>
    <x:row r="171" ht="25" customHeight="1">
      <x:c r="A171" s="2"/>
      <x:c r="B171" s="2"/>
      <x:c r="C171" s="60" t="str">
        <x:v>Initial mapping revenue, EUR</x:v>
      </x:c>
      <x:c r="D171" s="57" t="n">
        <x:f>'Sales'!D62</x:f>
        <x:v>0</x:v>
      </x:c>
      <x:c r="E171" s="57" t="n">
        <x:f>'Sales'!E62</x:f>
        <x:v>66987.20440513754</x:v>
      </x:c>
      <x:c r="F171" s="57" t="n">
        <x:f>'Sales'!F62</x:f>
        <x:v>280001.49833185447</x:v>
      </x:c>
      <x:c r="G171" s="57" t="n">
        <x:f>'Sales'!G62</x:f>
        <x:v>241380.6020102193</x:v>
      </x:c>
      <x:c r="H171" s="57" t="n">
        <x:f>'Sales'!H62</x:f>
        <x:v>289656.72241226316</x:v>
      </x:c>
      <x:c r="I171" s="57" t="n">
        <x:f>'Sales'!I62</x:f>
        <x:v>405760.79197917867</x:v>
      </x:c>
      <x:c r="J171" s="57" t="n">
        <x:f>'Sales'!J62</x:f>
        <x:v>1172307.5078416332</x:v>
      </x:c>
      <x:c r="K171" s="57" t="n">
        <x:f>'Sales'!K62</x:f>
        <x:v>1552495.5076747935</x:v>
      </x:c>
      <x:c r="L171" s="57" t="n">
        <x:f>'Sales'!L62</x:f>
        <x:v>2367954.341593525</x:v>
      </x:c>
      <x:c r="M171" s="57" t="n">
        <x:f>'Sales'!M62</x:f>
        <x:v>3717585.0359876114</x:v>
      </x:c>
      <x:c r="N171" s="57" t="n">
        <x:f>'Sales'!N62</x:f>
        <x:v>6861053.031145866</x:v>
      </x:c>
      <x:c r="O171" s="57" t="n">
        <x:f>'Sales'!O62</x:f>
        <x:v>8338929.074323292</x:v>
      </x:c>
      <x:c r="P171" s="57" t="n">
        <x:f>'Sales'!P62</x:f>
        <x:v>11478290.60818618</x:v>
      </x:c>
      <x:c r="Q171" s="57" t="n">
        <x:f>'Sales'!Q62</x:f>
        <x:v>15019072.796895063</x:v>
      </x:c>
      <x:c r="R171" s="57" t="n">
        <x:f>'Sales'!R62</x:f>
        <x:v>26096422.854172643</x:v>
      </x:c>
      <x:c r="S171" s="57" t="n">
        <x:f>'Sales'!S62</x:f>
        <x:v>29346655.172840964</x:v>
      </x:c>
      <x:c r="T171" s="57" t="n">
        <x:f>'Sales'!T62</x:f>
        <x:v>24595506.50742866</x:v>
      </x:c>
    </x:row>
    <x:row r="172" ht="25" customHeight="1">
      <x:c r="A172" s="2"/>
      <x:c r="B172" s="2"/>
      <x:c r="C172" s="32" t="str">
        <x:v>Direct mapping revenue, EUR</x:v>
      </x:c>
      <x:c r="D172" s="52" t="n">
        <x:f>'Sales'!D63</x:f>
        <x:v>0</x:v>
      </x:c>
      <x:c r="E172" s="52" t="n">
        <x:f>'Sales'!E63</x:f>
        <x:v>66987.20440513754</x:v>
      </x:c>
      <x:c r="F172" s="52" t="n">
        <x:f>'Sales'!F63</x:f>
        <x:v>279303.24023127626</x:v>
      </x:c>
      <x:c r="G172" s="52" t="n">
        <x:f>'Sales'!G63</x:f>
        <x:v>236611.43389987663</x:v>
      </x:c>
      <x:c r="H172" s="52" t="n">
        <x:f>'Sales'!H63</x:f>
        <x:v>269874.8267662448</x:v>
      </x:c>
      <x:c r="I172" s="52" t="n">
        <x:f>'Sales'!I63</x:f>
        <x:v>353768.32119284786</x:v>
      </x:c>
      <x:c r="J172" s="52" t="n">
        <x:f>'Sales'!J63</x:f>
        <x:v>997539.586983585</x:v>
      </x:c>
      <x:c r="K172" s="52" t="n">
        <x:f>'Sales'!K63</x:f>
        <x:v>1266955.8154104582</x:v>
      </x:c>
      <x:c r="L172" s="52" t="n">
        <x:f>'Sales'!L63</x:f>
        <x:v>1966773.7456306538</x:v>
      </x:c>
      <x:c r="M172" s="52" t="n">
        <x:f>'Sales'!M63</x:f>
        <x:v>3110263.7401232566</x:v>
      </x:c>
      <x:c r="N172" s="52" t="n">
        <x:f>'Sales'!N63</x:f>
        <x:v>5740495.37356006</x:v>
      </x:c>
      <x:c r="O172" s="52" t="n">
        <x:f>'Sales'!O63</x:f>
        <x:v>6804350.113533091</x:v>
      </x:c>
      <x:c r="P172" s="52" t="n">
        <x:f>'Sales'!P63</x:f>
        <x:v>9331680.155702526</x:v>
      </x:c>
      <x:c r="Q172" s="52" t="n">
        <x:f>'Sales'!Q63</x:f>
        <x:v>12260430.852717958</x:v>
      </x:c>
      <x:c r="R172" s="52" t="n">
        <x:f>'Sales'!R63</x:f>
        <x:v>20895523.496918045</x:v>
      </x:c>
      <x:c r="S172" s="52" t="n">
        <x:f>'Sales'!S63</x:f>
        <x:v>23303624.5733214</x:v>
      </x:c>
      <x:c r="T172" s="52" t="n">
        <x:f>'Sales'!T63</x:f>
        <x:v>18490312.673901826</x:v>
      </x:c>
    </x:row>
    <x:row r="173" ht="25" customHeight="1">
      <x:c r="A173" s="2"/>
      <x:c r="B173" s="2"/>
      <x:c r="C173" s="32" t="str">
        <x:v>Partner mapping revenue, EUR</x:v>
      </x:c>
      <x:c r="D173" s="52" t="n">
        <x:f>'Sales'!D64</x:f>
        <x:v>0</x:v>
      </x:c>
      <x:c r="E173" s="52" t="n">
        <x:f>'Sales'!E64</x:f>
        <x:v>0</x:v>
      </x:c>
      <x:c r="F173" s="52" t="n">
        <x:f>'Sales'!F64</x:f>
        <x:v>698.2581005782122</x:v>
      </x:c>
      <x:c r="G173" s="52" t="n">
        <x:f>'Sales'!G64</x:f>
        <x:v>4769.168110342667</x:v>
      </x:c>
      <x:c r="H173" s="52" t="n">
        <x:f>'Sales'!H64</x:f>
        <x:v>19781.895646018384</x:v>
      </x:c>
      <x:c r="I173" s="52" t="n">
        <x:f>'Sales'!I64</x:f>
        <x:v>51992.470786330814</x:v>
      </x:c>
      <x:c r="J173" s="52" t="n">
        <x:f>'Sales'!J64</x:f>
        <x:v>174767.92085804814</x:v>
      </x:c>
      <x:c r="K173" s="52" t="n">
        <x:f>'Sales'!K64</x:f>
        <x:v>285539.69226433523</x:v>
      </x:c>
      <x:c r="L173" s="52" t="n">
        <x:f>'Sales'!L64</x:f>
        <x:v>401180.5959628711</x:v>
      </x:c>
      <x:c r="M173" s="52" t="n">
        <x:f>'Sales'!M64</x:f>
        <x:v>607321.2958643548</x:v>
      </x:c>
      <x:c r="N173" s="52" t="n">
        <x:f>'Sales'!N64</x:f>
        <x:v>1120557.6575858062</x:v>
      </x:c>
      <x:c r="O173" s="52" t="n">
        <x:f>'Sales'!O64</x:f>
        <x:v>1534578.960790201</x:v>
      </x:c>
      <x:c r="P173" s="52" t="n">
        <x:f>'Sales'!P64</x:f>
        <x:v>2146610.452483654</x:v>
      </x:c>
      <x:c r="Q173" s="52" t="n">
        <x:f>'Sales'!Q64</x:f>
        <x:v>2758641.944177104</x:v>
      </x:c>
      <x:c r="R173" s="52" t="n">
        <x:f>'Sales'!R64</x:f>
        <x:v>5200899.357254598</x:v>
      </x:c>
      <x:c r="S173" s="52" t="n">
        <x:f>'Sales'!S64</x:f>
        <x:v>6043030.599519566</x:v>
      </x:c>
      <x:c r="T173" s="52" t="n">
        <x:f>'Sales'!T64</x:f>
        <x:v>6105193.833526835</x:v>
      </x:c>
    </x:row>
    <x:row r="174" ht="25" customHeight="1">
      <x:c r="A174" s="2"/>
      <x:c r="B174" s="2"/>
      <x:c r="C174" s="60" t="str">
        <x:v>Total revenue, EUR</x:v>
      </x:c>
      <x:c r="D174" s="40" t="n">
        <x:f>D17+D171</x:f>
        <x:v>0</x:v>
      </x:c>
      <x:c r="E174" s="40" t="n">
        <x:f>E17+E171</x:f>
        <x:v>87272.3641423091</x:v>
      </x:c>
      <x:c r="F174" s="40" t="n">
        <x:f>F17+F171</x:f>
        <x:v>337053.5100926495</x:v>
      </x:c>
      <x:c r="G174" s="40" t="n">
        <x:f>G17+G171</x:f>
        <x:v>330128.1758603449</x:v>
      </x:c>
      <x:c r="H174" s="40" t="n">
        <x:f>H17+H171</x:f>
        <x:v>416438.97076958546</x:v>
      </x:c>
      <x:c r="I174" s="40" t="n">
        <x:f>I17+I171</x:f>
        <x:v>616436.7682489867</x:v>
      </x:c>
      <x:c r="J174" s="40" t="n">
        <x:f>J17+J171</x:f>
        <x:v>1508305.5269711046</x:v>
      </x:c>
      <x:c r="K174" s="40" t="n">
        <x:f>K17+K171</x:f>
        <x:v>2040904.0616375273</x:v>
      </x:c>
      <x:c r="L174" s="40" t="n">
        <x:f>L17+L171</x:f>
        <x:v>3087605.895870921</x:v>
      </x:c>
      <x:c r="M174" s="40" t="n">
        <x:f>M17+M171</x:f>
        <x:v>4845614.928692474</x:v>
      </x:c>
      <x:c r="N174" s="40" t="n">
        <x:f>N17+N171</x:f>
        <x:v>8665606.748567097</x:v>
      </x:c>
      <x:c r="O174" s="40" t="n">
        <x:f>O17+O171</x:f>
        <x:v>10965032.131515084</x:v>
      </x:c>
      <x:c r="P174" s="40" t="n">
        <x:f>P17+P171</x:f>
        <x:v>15237931.737600835</x:v>
      </x:c>
      <x:c r="Q174" s="40" t="n">
        <x:f>Q17+Q171</x:f>
        <x:v>20573348.24093076</x:v>
      </x:c>
      <x:c r="R174" s="40" t="n">
        <x:f>R17+R171</x:f>
        <x:v>34217296.327759616</x:v>
      </x:c>
      <x:c r="S174" s="40" t="n">
        <x:f>S17+S171</x:f>
        <x:v>40363011.679263145</x:v>
      </x:c>
      <x:c r="T174" s="40" t="n">
        <x:f>T17+T171</x:f>
        <x:v>38105573.87375249</x:v>
      </x:c>
    </x:row>
    <x:row r="175" ht="25" customHeight="1">
      <x:c r="A175" s="2"/>
      <x:c r="B175" s="2"/>
      <x:c r="C175" s="60" t="str">
        <x:v>Total invoices, EUR</x:v>
      </x:c>
      <x:c r="D175" s="40" t="n">
        <x:f>D18+D171</x:f>
        <x:v>0</x:v>
      </x:c>
      <x:c r="E175" s="40" t="n">
        <x:f>E18+E171</x:f>
        <x:v>148127.84335382382</x:v>
      </x:c>
      <x:c r="F175" s="40" t="n">
        <x:f>F18+F171</x:f>
        <x:v>427068.9064263483</x:v>
      </x:c>
      <x:c r="G175" s="40" t="n">
        <x:f>G18+G171</x:f>
        <x:v>368162.8503675416</x:v>
      </x:c>
      <x:c r="H175" s="40" t="n">
        <x:f>H18+H171</x:f>
        <x:v>441795.4204410499</x:v>
      </x:c>
      <x:c r="I175" s="40" t="n">
        <x:f>I18+I171</x:f>
        <x:v>822476.3425778078</x:v>
      </x:c>
      <x:c r="J175" s="40" t="n">
        <x:f>J18+J171</x:f>
        <x:v>1820663.0873747803</x:v>
      </x:c>
      <x:c r="K175" s="40" t="n">
        <x:f>K18+K171</x:f>
        <x:v>2288919.895365166</x:v>
      </x:c>
      <x:c r="L175" s="40" t="n">
        <x:f>L18+L171</x:f>
        <x:v>3445065.0408809604</x:v>
      </x:c>
      <x:c r="M175" s="40" t="n">
        <x:f>M18+M171</x:f>
        <x:v>5767813.940296106</x:v>
      </x:c>
      <x:c r="N175" s="40" t="n">
        <x:f>N18+N171</x:f>
        <x:v>10215503.909544487</x:v>
      </x:c>
      <x:c r="O175" s="40" t="n">
        <x:f>O18+O171</x:f>
        <x:v>12361550.82109591</x:v>
      </x:c>
      <x:c r="P175" s="40" t="n">
        <x:f>P18+P171</x:f>
        <x:v>17089553.596365068</x:v>
      </x:c>
      <x:c r="Q175" s="40" t="n">
        <x:f>Q18+Q171</x:f>
        <x:v>24247838.95968771</x:v>
      </x:c>
      <x:c r="R175" s="40" t="n">
        <x:f>R18+R171</x:f>
        <x:v>39717265.850776374</x:v>
      </x:c>
      <x:c r="S175" s="40" t="n">
        <x:f>S18+S171</x:f>
        <x:v>44951209.0509544</x:v>
      </x:c>
      <x:c r="T175" s="40" t="n">
        <x:f>T18+T171</x:f>
        <x:v>40181612.93521418</x:v>
      </x:c>
    </x:row>
    <x:row r="176" ht="25" customHeight="1">
      <x:c r="A176" s="2"/>
      <x:c r="B176" s="2"/>
      <x:c r="C176" s="32"/>
      <x:c r="D176" s="3"/>
      <x:c r="E176" s="3"/>
      <x:c r="F176" s="3"/>
      <x:c r="G176" s="3"/>
      <x:c r="H176" s="3"/>
      <x:c r="I176" s="3"/>
      <x:c r="J176" s="3"/>
      <x:c r="K176" s="3"/>
      <x:c r="L176" s="3"/>
      <x:c r="M176" s="3"/>
      <x:c r="N176" s="3"/>
      <x:c r="O176" s="3"/>
      <x:c r="P176" s="3"/>
      <x:c r="Q176" s="3"/>
      <x:c r="R176" s="3"/>
      <x:c r="S176" s="3"/>
      <x:c r="T176" s="3"/>
    </x:row>
    <x:row r="177" ht="25" customHeight="1">
      <x:c r="A177" s="2"/>
      <x:c r="B177" s="2"/>
      <x:c r="C177" s="32"/>
      <x:c r="D177" s="3"/>
      <x:c r="E177" s="3"/>
      <x:c r="F177" s="3"/>
      <x:c r="G177" s="3"/>
      <x:c r="H177" s="3"/>
      <x:c r="I177" s="3"/>
      <x:c r="J177" s="3"/>
      <x:c r="K177" s="3"/>
      <x:c r="L177" s="3"/>
      <x:c r="M177" s="3"/>
      <x:c r="N177" s="3"/>
      <x:c r="O177" s="3"/>
      <x:c r="P177" s="3"/>
      <x:c r="Q177" s="3"/>
      <x:c r="R177" s="3"/>
      <x:c r="S177" s="3"/>
      <x:c r="T177" s="3"/>
    </x:row>
    <x:row r="178" ht="25" customHeight="1">
      <x:c r="A178" s="2"/>
      <x:c r="B178" s="2"/>
      <x:c r="C178" s="32"/>
      <x:c r="D178" s="3"/>
      <x:c r="E178" s="3"/>
      <x:c r="F178" s="3"/>
      <x:c r="G178" s="3"/>
      <x:c r="H178" s="3"/>
      <x:c r="I178" s="3"/>
      <x:c r="J178" s="3"/>
      <x:c r="K178" s="3"/>
      <x:c r="L178" s="3"/>
      <x:c r="M178" s="3"/>
      <x:c r="N178" s="3"/>
      <x:c r="O178" s="3"/>
      <x:c r="P178" s="3"/>
      <x:c r="Q178" s="3"/>
      <x:c r="R178" s="3"/>
      <x:c r="S178" s="3"/>
      <x:c r="T178" s="3"/>
    </x:row>
    <x:row r="179" ht="25" customHeight="1">
      <x:c r="A179" s="2"/>
      <x:c r="B179" s="2"/>
      <x:c r="C179" s="32"/>
      <x:c r="D179" s="3"/>
      <x:c r="E179" s="3"/>
      <x:c r="F179" s="3"/>
      <x:c r="G179" s="3"/>
      <x:c r="H179" s="3"/>
      <x:c r="I179" s="3"/>
      <x:c r="J179" s="3"/>
      <x:c r="K179" s="3"/>
      <x:c r="L179" s="3"/>
      <x:c r="M179" s="3"/>
      <x:c r="N179" s="3"/>
      <x:c r="O179" s="3"/>
      <x:c r="P179" s="3"/>
      <x:c r="Q179" s="3"/>
      <x:c r="R179" s="3"/>
      <x:c r="S179" s="3"/>
      <x:c r="T179" s="3"/>
    </x:row>
    <x:row r="180" ht="25" customHeight="1">
      <x:c r="A180" s="2"/>
      <x:c r="B180" s="2"/>
      <x:c r="C180" s="32"/>
      <x:c r="D180" s="3"/>
      <x:c r="E180" s="3"/>
      <x:c r="F180" s="3"/>
      <x:c r="G180" s="3"/>
      <x:c r="H180" s="3"/>
      <x:c r="I180" s="3"/>
      <x:c r="J180" s="3"/>
      <x:c r="K180" s="3"/>
      <x:c r="L180" s="3"/>
      <x:c r="M180" s="3"/>
      <x:c r="N180" s="3"/>
      <x:c r="O180" s="3"/>
      <x:c r="P180" s="3"/>
      <x:c r="Q180" s="3"/>
      <x:c r="R180" s="3"/>
      <x:c r="S180" s="3"/>
      <x:c r="T180" s="3"/>
    </x:row>
    <x:row r="181" ht="25" customHeight="1">
      <x:c r="A181" s="2"/>
      <x:c r="B181" s="2"/>
      <x:c r="C181" s="32"/>
      <x:c r="D181" s="3"/>
      <x:c r="E181" s="3"/>
      <x:c r="F181" s="3"/>
      <x:c r="G181" s="3"/>
      <x:c r="H181" s="3"/>
      <x:c r="I181" s="3"/>
      <x:c r="J181" s="3"/>
      <x:c r="K181" s="3"/>
      <x:c r="L181" s="3"/>
      <x:c r="M181" s="3"/>
      <x:c r="N181" s="3"/>
      <x:c r="O181" s="3"/>
      <x:c r="P181" s="3"/>
      <x:c r="Q181" s="3"/>
      <x:c r="R181" s="3"/>
      <x:c r="S181" s="3"/>
      <x:c r="T181" s="3"/>
    </x:row>
    <x:row r="182" ht="25" customHeight="1">
      <x:c r="A182" s="2"/>
      <x:c r="B182" s="2"/>
      <x:c r="C182" s="32"/>
      <x:c r="D182" s="3"/>
      <x:c r="E182" s="3"/>
      <x:c r="F182" s="3"/>
      <x:c r="G182" s="3"/>
      <x:c r="H182" s="3"/>
      <x:c r="I182" s="3"/>
      <x:c r="J182" s="3"/>
      <x:c r="K182" s="3"/>
      <x:c r="L182" s="3"/>
      <x:c r="M182" s="3"/>
      <x:c r="N182" s="3"/>
      <x:c r="O182" s="3"/>
      <x:c r="P182" s="3"/>
      <x:c r="Q182" s="3"/>
      <x:c r="R182" s="3"/>
      <x:c r="S182" s="3"/>
      <x:c r="T182" s="3"/>
    </x:row>
    <x:row r="183" ht="25" customHeight="1">
      <x:c r="A183" s="2"/>
      <x:c r="B183" s="2"/>
      <x:c r="C183" s="32"/>
      <x:c r="D183" s="3"/>
      <x:c r="E183" s="3"/>
      <x:c r="F183" s="3"/>
      <x:c r="G183" s="3"/>
      <x:c r="H183" s="3"/>
      <x:c r="I183" s="3"/>
      <x:c r="J183" s="3"/>
      <x:c r="K183" s="3"/>
      <x:c r="L183" s="3"/>
      <x:c r="M183" s="3"/>
      <x:c r="N183" s="3"/>
      <x:c r="O183" s="3"/>
      <x:c r="P183" s="3"/>
      <x:c r="Q183" s="3"/>
      <x:c r="R183" s="3"/>
      <x:c r="S183" s="3"/>
      <x:c r="T183" s="3"/>
    </x:row>
    <x:row r="184" ht="25" customHeight="1">
      <x:c r="A184" s="2"/>
      <x:c r="B184" s="2"/>
      <x:c r="C184" s="32"/>
      <x:c r="D184" s="3"/>
      <x:c r="E184" s="3"/>
      <x:c r="F184" s="3"/>
      <x:c r="G184" s="3"/>
      <x:c r="H184" s="3"/>
      <x:c r="I184" s="3"/>
      <x:c r="J184" s="3"/>
      <x:c r="K184" s="3"/>
      <x:c r="L184" s="3"/>
      <x:c r="M184" s="3"/>
      <x:c r="N184" s="3"/>
      <x:c r="O184" s="3"/>
      <x:c r="P184" s="3"/>
      <x:c r="Q184" s="3"/>
      <x:c r="R184" s="3"/>
      <x:c r="S184" s="3"/>
      <x:c r="T184" s="3"/>
    </x:row>
    <x:row r="185" ht="25" customHeight="1">
      <x:c r="A185" s="2"/>
      <x:c r="B185" s="2"/>
      <x:c r="C185" s="32"/>
      <x:c r="D185" s="3"/>
      <x:c r="E185" s="3"/>
      <x:c r="F185" s="3"/>
      <x:c r="G185" s="3"/>
      <x:c r="H185" s="3"/>
      <x:c r="I185" s="3"/>
      <x:c r="J185" s="3"/>
      <x:c r="K185" s="3"/>
      <x:c r="L185" s="3"/>
      <x:c r="M185" s="3"/>
      <x:c r="N185" s="3"/>
      <x:c r="O185" s="3"/>
      <x:c r="P185" s="3"/>
      <x:c r="Q185" s="3"/>
      <x:c r="R185" s="3"/>
      <x:c r="S185" s="3"/>
      <x:c r="T185" s="3"/>
    </x:row>
    <x:row r="186" ht="25" customHeight="1">
      <x:c r="A186" s="2"/>
      <x:c r="B186" s="2"/>
      <x:c r="C186" s="32"/>
      <x:c r="D186" s="3"/>
      <x:c r="E186" s="3"/>
      <x:c r="F186" s="3"/>
      <x:c r="G186" s="3"/>
      <x:c r="H186" s="3"/>
      <x:c r="I186" s="3"/>
      <x:c r="J186" s="3"/>
      <x:c r="K186" s="3"/>
      <x:c r="L186" s="3"/>
      <x:c r="M186" s="3"/>
      <x:c r="N186" s="3"/>
      <x:c r="O186" s="3"/>
      <x:c r="P186" s="3"/>
      <x:c r="Q186" s="3"/>
      <x:c r="R186" s="3"/>
      <x:c r="S186" s="3"/>
      <x:c r="T186" s="3"/>
    </x:row>
    <x:row r="187" ht="25" customHeight="1">
      <x:c r="A187" s="2"/>
      <x:c r="B187" s="2"/>
      <x:c r="C187" s="32"/>
      <x:c r="D187" s="3"/>
      <x:c r="E187" s="3"/>
      <x:c r="F187" s="3"/>
      <x:c r="G187" s="3"/>
      <x:c r="H187" s="3"/>
      <x:c r="I187" s="3"/>
      <x:c r="J187" s="3"/>
      <x:c r="K187" s="3"/>
      <x:c r="L187" s="3"/>
      <x:c r="M187" s="3"/>
      <x:c r="N187" s="3"/>
      <x:c r="O187" s="3"/>
      <x:c r="P187" s="3"/>
      <x:c r="Q187" s="3"/>
      <x:c r="R187" s="3"/>
      <x:c r="S187" s="3"/>
      <x:c r="T187" s="3"/>
    </x:row>
    <x:row r="188" ht="25" customHeight="1">
      <x:c r="A188" s="2"/>
      <x:c r="B188" s="2"/>
      <x:c r="C188" s="32"/>
      <x:c r="D188" s="3"/>
      <x:c r="E188" s="3"/>
      <x:c r="F188" s="3"/>
      <x:c r="G188" s="3"/>
      <x:c r="H188" s="3"/>
      <x:c r="I188" s="3"/>
      <x:c r="J188" s="3"/>
      <x:c r="K188" s="3"/>
      <x:c r="L188" s="3"/>
      <x:c r="M188" s="3"/>
      <x:c r="N188" s="3"/>
      <x:c r="O188" s="3"/>
      <x:c r="P188" s="3"/>
      <x:c r="Q188" s="3"/>
      <x:c r="R188" s="3"/>
      <x:c r="S188" s="3"/>
      <x:c r="T188" s="3"/>
    </x:row>
    <x:row r="189" ht="25" customHeight="1">
      <x:c r="A189" s="2"/>
      <x:c r="B189" s="2"/>
      <x:c r="C189" s="32"/>
      <x:c r="D189" s="3"/>
      <x:c r="E189" s="3"/>
      <x:c r="F189" s="3"/>
      <x:c r="G189" s="3"/>
      <x:c r="H189" s="3"/>
      <x:c r="I189" s="3"/>
      <x:c r="J189" s="3"/>
      <x:c r="K189" s="3"/>
      <x:c r="L189" s="3"/>
      <x:c r="M189" s="3"/>
      <x:c r="N189" s="3"/>
      <x:c r="O189" s="3"/>
      <x:c r="P189" s="3"/>
      <x:c r="Q189" s="3"/>
      <x:c r="R189" s="3"/>
      <x:c r="S189" s="3"/>
      <x:c r="T189" s="3"/>
    </x:row>
    <x:row r="190" ht="25" customHeight="1">
      <x:c r="A190" s="2"/>
      <x:c r="B190" s="2"/>
      <x:c r="C190" s="32"/>
      <x:c r="D190" s="3"/>
      <x:c r="E190" s="3"/>
      <x:c r="F190" s="3"/>
      <x:c r="G190" s="3"/>
      <x:c r="H190" s="3"/>
      <x:c r="I190" s="3"/>
      <x:c r="J190" s="3"/>
      <x:c r="K190" s="3"/>
      <x:c r="L190" s="3"/>
      <x:c r="M190" s="3"/>
      <x:c r="N190" s="3"/>
      <x:c r="O190" s="3"/>
      <x:c r="P190" s="3"/>
      <x:c r="Q190" s="3"/>
      <x:c r="R190" s="3"/>
      <x:c r="S190" s="3"/>
      <x:c r="T190" s="3"/>
    </x:row>
    <x:row r="191" ht="25" customHeight="1">
      <x:c r="A191" s="2"/>
      <x:c r="B191" s="2"/>
      <x:c r="C191" s="32"/>
      <x:c r="D191" s="3"/>
      <x:c r="E191" s="3"/>
      <x:c r="F191" s="3"/>
      <x:c r="G191" s="3"/>
      <x:c r="H191" s="3"/>
      <x:c r="I191" s="3"/>
      <x:c r="J191" s="3"/>
      <x:c r="K191" s="3"/>
      <x:c r="L191" s="3"/>
      <x:c r="M191" s="3"/>
      <x:c r="N191" s="3"/>
      <x:c r="O191" s="3"/>
      <x:c r="P191" s="3"/>
      <x:c r="Q191" s="3"/>
      <x:c r="R191" s="3"/>
      <x:c r="S191" s="3"/>
      <x:c r="T191" s="3"/>
    </x:row>
    <x:row r="192" ht="25" customHeight="1">
      <x:c r="A192" s="2"/>
      <x:c r="B192" s="2"/>
      <x:c r="C192" s="32"/>
      <x:c r="D192" s="3"/>
      <x:c r="E192" s="3"/>
      <x:c r="F192" s="3"/>
      <x:c r="G192" s="3"/>
      <x:c r="H192" s="3"/>
      <x:c r="I192" s="3"/>
      <x:c r="J192" s="3"/>
      <x:c r="K192" s="3"/>
      <x:c r="L192" s="3"/>
      <x:c r="M192" s="3"/>
      <x:c r="N192" s="3"/>
      <x:c r="O192" s="3"/>
      <x:c r="P192" s="3"/>
      <x:c r="Q192" s="3"/>
      <x:c r="R192" s="3"/>
      <x:c r="S192" s="3"/>
      <x:c r="T192" s="3"/>
    </x:row>
    <x:row r="193" ht="25" customHeight="1">
      <x:c r="A193" s="2"/>
      <x:c r="B193" s="2"/>
      <x:c r="C193" s="32"/>
      <x:c r="D193" s="3"/>
      <x:c r="E193" s="3"/>
      <x:c r="F193" s="3"/>
      <x:c r="G193" s="3"/>
      <x:c r="H193" s="3"/>
      <x:c r="I193" s="3"/>
      <x:c r="J193" s="3"/>
      <x:c r="K193" s="3"/>
      <x:c r="L193" s="3"/>
      <x:c r="M193" s="3"/>
      <x:c r="N193" s="3"/>
      <x:c r="O193" s="3"/>
      <x:c r="P193" s="3"/>
      <x:c r="Q193" s="3"/>
      <x:c r="R193" s="3"/>
      <x:c r="S193" s="3"/>
      <x:c r="T193" s="3"/>
    </x:row>
    <x:row r="194" ht="25" customHeight="1">
      <x:c r="A194" s="2"/>
      <x:c r="B194" s="2"/>
      <x:c r="C194" s="32"/>
      <x:c r="D194" s="3"/>
      <x:c r="E194" s="3"/>
      <x:c r="F194" s="3"/>
      <x:c r="G194" s="3"/>
      <x:c r="H194" s="3"/>
      <x:c r="I194" s="3"/>
      <x:c r="J194" s="3"/>
      <x:c r="K194" s="3"/>
      <x:c r="L194" s="3"/>
      <x:c r="M194" s="3"/>
      <x:c r="N194" s="3"/>
      <x:c r="O194" s="3"/>
      <x:c r="P194" s="3"/>
      <x:c r="Q194" s="3"/>
      <x:c r="R194" s="3"/>
      <x:c r="S194" s="3"/>
      <x:c r="T194" s="3"/>
    </x:row>
    <x:row r="195" ht="25" customHeight="1">
      <x:c r="A195" s="2"/>
      <x:c r="B195" s="2"/>
      <x:c r="C195" s="32"/>
      <x:c r="D195" s="3"/>
      <x:c r="E195" s="3"/>
      <x:c r="F195" s="3"/>
      <x:c r="G195" s="3"/>
      <x:c r="H195" s="3"/>
      <x:c r="I195" s="3"/>
      <x:c r="J195" s="3"/>
      <x:c r="K195" s="3"/>
      <x:c r="L195" s="3"/>
      <x:c r="M195" s="3"/>
      <x:c r="N195" s="3"/>
      <x:c r="O195" s="3"/>
      <x:c r="P195" s="3"/>
      <x:c r="Q195" s="3"/>
      <x:c r="R195" s="3"/>
      <x:c r="S195" s="3"/>
      <x:c r="T195" s="3"/>
    </x:row>
    <x:row r="196" ht="25" customHeight="1">
      <x:c r="A196" s="2"/>
      <x:c r="B196" s="2"/>
      <x:c r="C196" s="32"/>
      <x:c r="D196" s="3"/>
      <x:c r="E196" s="3"/>
      <x:c r="F196" s="3"/>
      <x:c r="G196" s="3"/>
      <x:c r="H196" s="3"/>
      <x:c r="I196" s="3"/>
      <x:c r="J196" s="3"/>
      <x:c r="K196" s="3"/>
      <x:c r="L196" s="3"/>
      <x:c r="M196" s="3"/>
      <x:c r="N196" s="3"/>
      <x:c r="O196" s="3"/>
      <x:c r="P196" s="3"/>
      <x:c r="Q196" s="3"/>
      <x:c r="R196" s="3"/>
      <x:c r="S196" s="3"/>
      <x:c r="T196" s="3"/>
    </x:row>
    <x:row r="197" ht="25" customHeight="1">
      <x:c r="A197" s="2"/>
      <x:c r="B197" s="2"/>
      <x:c r="C197" s="32"/>
      <x:c r="D197" s="3"/>
      <x:c r="E197" s="3"/>
      <x:c r="F197" s="3"/>
      <x:c r="G197" s="3"/>
      <x:c r="H197" s="3"/>
      <x:c r="I197" s="3"/>
      <x:c r="J197" s="3"/>
      <x:c r="K197" s="3"/>
      <x:c r="L197" s="3"/>
      <x:c r="M197" s="3"/>
      <x:c r="N197" s="3"/>
      <x:c r="O197" s="3"/>
      <x:c r="P197" s="3"/>
      <x:c r="Q197" s="3"/>
      <x:c r="R197" s="3"/>
      <x:c r="S197" s="3"/>
      <x:c r="T197" s="3"/>
    </x:row>
    <x:row r="198" ht="25" customHeight="1">
      <x:c r="A198" s="2"/>
      <x:c r="B198" s="2"/>
      <x:c r="C198" s="32"/>
      <x:c r="D198" s="3"/>
      <x:c r="E198" s="3"/>
      <x:c r="F198" s="3"/>
      <x:c r="G198" s="3"/>
      <x:c r="H198" s="3"/>
      <x:c r="I198" s="3"/>
      <x:c r="J198" s="3"/>
      <x:c r="K198" s="3"/>
      <x:c r="L198" s="3"/>
      <x:c r="M198" s="3"/>
      <x:c r="N198" s="3"/>
      <x:c r="O198" s="3"/>
      <x:c r="P198" s="3"/>
      <x:c r="Q198" s="3"/>
      <x:c r="R198" s="3"/>
      <x:c r="S198" s="3"/>
      <x:c r="T198" s="3"/>
    </x:row>
    <x:row r="199" ht="25" customHeight="1">
      <x:c r="A199" s="2"/>
      <x:c r="B199" s="2"/>
      <x:c r="C199" s="32"/>
      <x:c r="D199" s="3"/>
      <x:c r="E199" s="3"/>
      <x:c r="F199" s="3"/>
      <x:c r="G199" s="3"/>
      <x:c r="H199" s="3"/>
      <x:c r="I199" s="3"/>
      <x:c r="J199" s="3"/>
      <x:c r="K199" s="3"/>
      <x:c r="L199" s="3"/>
      <x:c r="M199" s="3"/>
      <x:c r="N199" s="3"/>
      <x:c r="O199" s="3"/>
      <x:c r="P199" s="3"/>
      <x:c r="Q199" s="3"/>
      <x:c r="R199" s="3"/>
      <x:c r="S199" s="3"/>
      <x:c r="T199" s="3"/>
    </x:row>
    <x:row r="200" ht="25" customHeight="1">
      <x:c r="A200" s="2"/>
      <x:c r="B200" s="2"/>
      <x:c r="C200" s="32"/>
      <x:c r="D200" s="3"/>
      <x:c r="E200" s="3"/>
      <x:c r="F200" s="3"/>
      <x:c r="G200" s="3"/>
      <x:c r="H200" s="3"/>
      <x:c r="I200" s="3"/>
      <x:c r="J200" s="3"/>
      <x:c r="K200" s="3"/>
      <x:c r="L200" s="3"/>
      <x:c r="M200" s="3"/>
      <x:c r="N200" s="3"/>
      <x:c r="O200" s="3"/>
      <x:c r="P200" s="3"/>
      <x:c r="Q200" s="3"/>
      <x:c r="R200" s="3"/>
      <x:c r="S200" s="3"/>
      <x:c r="T200" s="3"/>
    </x:row>
  </x:sheetData>
  <x:mergeCells>
    <x:mergeCell ref="C2:T2"/>
  </x:mergeCells>
  <x:pageMargins left="0.7" right="0.7" top="0.75" bottom="0.75" header="0.3" footer="0.3"/>
</x:worksheet>
</file>

<file path=xl/worksheets/sheet8.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2" hidden="0" customWidth="1"/>
    <x:col min="2" max="2" width="2" hidden="0" customWidth="1"/>
    <x:col min="3" max="3" width="48"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 min="17" max="17" width="16" hidden="0" customWidth="1"/>
    <x:col min="18" max="18" width="16" hidden="0" customWidth="1"/>
    <x:col min="19" max="19" width="16" hidden="0" customWidth="1"/>
    <x:col min="20" max="20" width="16" hidden="0" customWidth="1"/>
  </x:cols>
  <x:sheetData>
    <x:row r="1" ht="25" customHeight="1">
      <x:c r="A1" s="2"/>
      <x:c r="B1" s="2"/>
      <x:c r="C1" s="2"/>
      <x:c r="D1" s="3"/>
      <x:c r="E1" s="3"/>
      <x:c r="F1" s="3"/>
      <x:c r="G1" s="3"/>
      <x:c r="H1" s="3"/>
      <x:c r="I1" s="3"/>
      <x:c r="J1" s="3"/>
      <x:c r="K1" s="3"/>
      <x:c r="L1" s="3"/>
      <x:c r="M1" s="3"/>
      <x:c r="N1" s="3"/>
      <x:c r="O1" s="3"/>
      <x:c r="P1" s="3"/>
      <x:c r="Q1" s="3"/>
      <x:c r="R1" s="3"/>
      <x:c r="S1" s="3"/>
      <x:c r="T1" s="3"/>
    </x:row>
    <x:row r="2" ht="34" customHeight="1">
      <x:c r="A2" s="2"/>
      <x:c r="B2" s="2"/>
      <x:c r="C2" s="4" t="str">
        <x:v>Hiring, ramp and loaded payroll</x:v>
      </x:c>
      <x:c r="D2" s="3"/>
      <x:c r="E2" s="3"/>
      <x:c r="F2" s="3"/>
      <x:c r="G2" s="3"/>
      <x:c r="H2" s="3"/>
      <x:c r="I2" s="3"/>
      <x:c r="J2" s="3"/>
      <x:c r="K2" s="3"/>
      <x:c r="L2" s="3"/>
      <x:c r="M2" s="3"/>
      <x:c r="N2" s="3"/>
      <x:c r="O2" s="3"/>
      <x:c r="P2" s="3"/>
      <x:c r="Q2" s="3"/>
      <x:c r="R2" s="3"/>
      <x:c r="S2" s="3"/>
      <x:c r="T2" s="3"/>
    </x:row>
    <x:row r="3" ht="25" customHeight="1">
      <x:c r="A3" s="2"/>
      <x:c r="B3" s="2"/>
      <x:c r="C3" s="2" t="str">
        <x:v>Selected case</x:v>
      </x:c>
      <x:c r="D3" s="52" t="str">
        <x:f>'Inputs'!$E$3</x:f>
        <x:v>Base</x:v>
      </x:c>
      <x:c r="E3" s="3"/>
      <x:c r="F3" s="3"/>
      <x:c r="G3" s="3"/>
      <x:c r="H3" s="3"/>
      <x:c r="I3" s="3"/>
      <x:c r="J3" s="3"/>
      <x:c r="K3" s="3"/>
      <x:c r="L3" s="3"/>
      <x:c r="M3" s="3"/>
      <x:c r="N3" s="3"/>
      <x:c r="O3" s="3"/>
      <x:c r="P3" s="3"/>
      <x:c r="Q3" s="3"/>
      <x:c r="R3" s="3"/>
      <x:c r="S3" s="3"/>
      <x:c r="T3" s="3"/>
    </x:row>
    <x:row r="4" ht="25" customHeight="1">
      <x:c r="A4" s="2"/>
      <x:c r="B4" s="2"/>
      <x:c r="C4" s="2"/>
      <x:c r="D4" s="3"/>
      <x:c r="E4" s="3"/>
      <x:c r="F4" s="3"/>
      <x:c r="G4" s="3"/>
      <x:c r="H4" s="3"/>
      <x:c r="I4" s="3"/>
      <x:c r="J4" s="3"/>
      <x:c r="K4" s="3"/>
      <x:c r="L4" s="3"/>
      <x:c r="M4" s="3"/>
      <x:c r="N4" s="3"/>
      <x:c r="O4" s="3"/>
      <x:c r="P4" s="3"/>
      <x:c r="Q4" s="3"/>
      <x:c r="R4" s="3"/>
      <x:c r="S4" s="3"/>
      <x:c r="T4" s="3"/>
    </x:row>
    <x:row r="5" ht="25" customHeight="1">
      <x:c r="A5" s="2"/>
      <x:c r="B5" s="2"/>
      <x:c r="C5" s="7"/>
      <x:c r="D5" s="8" t="str">
        <x:v>Q4:26</x:v>
      </x:c>
      <x:c r="E5" s="8" t="str">
        <x:v>Q1:27</x:v>
      </x:c>
      <x:c r="F5" s="8" t="str">
        <x:v>Q2:27</x:v>
      </x:c>
      <x:c r="G5" s="8" t="str">
        <x:v>Q3:27</x:v>
      </x:c>
      <x:c r="H5" s="8" t="str">
        <x:v>Q4:27</x:v>
      </x:c>
      <x:c r="I5" s="8" t="str">
        <x:v>Q1:28</x:v>
      </x:c>
      <x:c r="J5" s="8" t="str">
        <x:v>Q2:28</x:v>
      </x:c>
      <x:c r="K5" s="8" t="str">
        <x:v>Q3:28</x:v>
      </x:c>
      <x:c r="L5" s="8" t="str">
        <x:v>Q4:28</x:v>
      </x:c>
      <x:c r="M5" s="8" t="str">
        <x:v>Q1:29</x:v>
      </x:c>
      <x:c r="N5" s="8" t="str">
        <x:v>Q2:29</x:v>
      </x:c>
      <x:c r="O5" s="8" t="str">
        <x:v>Q3:29</x:v>
      </x:c>
      <x:c r="P5" s="8" t="str">
        <x:v>Q4:29</x:v>
      </x:c>
      <x:c r="Q5" s="8" t="str">
        <x:v>Q1:30</x:v>
      </x:c>
      <x:c r="R5" s="8" t="str">
        <x:v>Q2:30</x:v>
      </x:c>
      <x:c r="S5" s="8" t="str">
        <x:v>Q3:30</x:v>
      </x:c>
      <x:c r="T5" s="8" t="str">
        <x:v>Q4:30</x:v>
      </x:c>
    </x:row>
    <x:row r="6" ht="25" customHeight="1">
      <x:c r="A6" s="2"/>
      <x:c r="B6" s="2"/>
      <x:c r="C6" s="32"/>
      <x:c r="D6" s="3"/>
      <x:c r="E6" s="3"/>
      <x:c r="F6" s="3"/>
      <x:c r="G6" s="3"/>
      <x:c r="H6" s="3"/>
      <x:c r="I6" s="3"/>
      <x:c r="J6" s="3"/>
      <x:c r="K6" s="3"/>
      <x:c r="L6" s="3"/>
      <x:c r="M6" s="3"/>
      <x:c r="N6" s="3"/>
      <x:c r="O6" s="3"/>
      <x:c r="P6" s="3"/>
      <x:c r="Q6" s="3"/>
      <x:c r="R6" s="3"/>
      <x:c r="S6" s="3"/>
      <x:c r="T6" s="3"/>
    </x:row>
    <x:row r="7" ht="27" customHeight="1">
      <x:c r="A7" s="2"/>
      <x:c r="B7" s="2"/>
      <x:c r="C7" s="61" t="str">
        <x:v>Quarter-end headcount</x:v>
      </x:c>
      <x:c r="D7" s="15"/>
      <x:c r="E7" s="15"/>
      <x:c r="F7" s="15"/>
      <x:c r="G7" s="15"/>
      <x:c r="H7" s="15"/>
      <x:c r="I7" s="15"/>
      <x:c r="J7" s="15"/>
      <x:c r="K7" s="15"/>
      <x:c r="L7" s="15"/>
      <x:c r="M7" s="15"/>
      <x:c r="N7" s="15"/>
      <x:c r="O7" s="15"/>
      <x:c r="P7" s="15"/>
      <x:c r="Q7" s="15"/>
      <x:c r="R7" s="15"/>
      <x:c r="S7" s="15"/>
      <x:c r="T7" s="15"/>
    </x:row>
    <x:row r="8" ht="25" customHeight="1">
      <x:c r="A8" s="2"/>
      <x:c r="B8" s="2"/>
      <x:c r="C8" s="32" t="str">
        <x:v>Product and engineering</x:v>
      </x:c>
      <x:c r="D8" s="55" t="n">
        <x:f>'Inputs'!D87</x:f>
        <x:v>4</x:v>
      </x:c>
      <x:c r="E8" s="55" t="n">
        <x:f>'Inputs'!D87+('Inputs'!E87-'Inputs'!D87)*1/4</x:f>
        <x:v>7.25</x:v>
      </x:c>
      <x:c r="F8" s="55" t="n">
        <x:f>'Inputs'!D87+('Inputs'!E87-'Inputs'!D87)*2/4</x:f>
        <x:v>10.5</x:v>
      </x:c>
      <x:c r="G8" s="55" t="n">
        <x:f>'Inputs'!D87+('Inputs'!E87-'Inputs'!D87)*3/4</x:f>
        <x:v>13.75</x:v>
      </x:c>
      <x:c r="H8" s="55" t="n">
        <x:f>'Inputs'!D87+('Inputs'!E87-'Inputs'!D87)*4/4</x:f>
        <x:v>17</x:v>
      </x:c>
      <x:c r="I8" s="55" t="n">
        <x:f>'Inputs'!E87+('Inputs'!F87-'Inputs'!E87)*1/4</x:f>
        <x:v>22.75</x:v>
      </x:c>
      <x:c r="J8" s="55" t="n">
        <x:f>'Inputs'!E87+('Inputs'!F87-'Inputs'!E87)*2/4</x:f>
        <x:v>28.5</x:v>
      </x:c>
      <x:c r="K8" s="55" t="n">
        <x:f>'Inputs'!E87+('Inputs'!F87-'Inputs'!E87)*3/4</x:f>
        <x:v>34.25</x:v>
      </x:c>
      <x:c r="L8" s="55" t="n">
        <x:f>'Inputs'!E87+('Inputs'!F87-'Inputs'!E87)*4/4</x:f>
        <x:v>40</x:v>
      </x:c>
      <x:c r="M8" s="55" t="n">
        <x:f>'Inputs'!F87+('Inputs'!G87-'Inputs'!F87)*1/4</x:f>
        <x:v>51.25</x:v>
      </x:c>
      <x:c r="N8" s="55" t="n">
        <x:f>'Inputs'!F87+('Inputs'!G87-'Inputs'!F87)*2/4</x:f>
        <x:v>62.5</x:v>
      </x:c>
      <x:c r="O8" s="55" t="n">
        <x:f>'Inputs'!F87+('Inputs'!G87-'Inputs'!F87)*3/4</x:f>
        <x:v>73.75</x:v>
      </x:c>
      <x:c r="P8" s="55" t="n">
        <x:f>'Inputs'!F87+('Inputs'!G87-'Inputs'!F87)*4/4</x:f>
        <x:v>85</x:v>
      </x:c>
      <x:c r="Q8" s="55" t="n">
        <x:f>'Inputs'!G87+('Inputs'!H87-'Inputs'!G87)*1/4</x:f>
        <x:v>98.75</x:v>
      </x:c>
      <x:c r="R8" s="55" t="n">
        <x:f>'Inputs'!G87+('Inputs'!H87-'Inputs'!G87)*2/4</x:f>
        <x:v>112.5</x:v>
      </x:c>
      <x:c r="S8" s="55" t="n">
        <x:f>'Inputs'!G87+('Inputs'!H87-'Inputs'!G87)*3/4</x:f>
        <x:v>126.25</x:v>
      </x:c>
      <x:c r="T8" s="55" t="n">
        <x:f>'Inputs'!G87+('Inputs'!H87-'Inputs'!G87)*4/4</x:f>
        <x:v>140</x:v>
      </x:c>
    </x:row>
    <x:row r="9" ht="25" customHeight="1">
      <x:c r="A9" s="2"/>
      <x:c r="B9" s="2"/>
      <x:c r="C9" s="32" t="str">
        <x:v>Sales and marketing</x:v>
      </x:c>
      <x:c r="D9" s="55" t="n">
        <x:f>'Inputs'!D92</x:f>
        <x:v>1</x:v>
      </x:c>
      <x:c r="E9" s="55" t="n">
        <x:f>'Inputs'!D92+('Inputs'!E92-'Inputs'!D92)*1/4</x:f>
        <x:v>3.25</x:v>
      </x:c>
      <x:c r="F9" s="55" t="n">
        <x:f>'Inputs'!D92+('Inputs'!E92-'Inputs'!D92)*2/4</x:f>
        <x:v>5.5</x:v>
      </x:c>
      <x:c r="G9" s="55" t="n">
        <x:f>'Inputs'!D92+('Inputs'!E92-'Inputs'!D92)*3/4</x:f>
        <x:v>7.75</x:v>
      </x:c>
      <x:c r="H9" s="55" t="n">
        <x:f>'Inputs'!D92+('Inputs'!E92-'Inputs'!D92)*4/4</x:f>
        <x:v>10</x:v>
      </x:c>
      <x:c r="I9" s="55" t="n">
        <x:f>'Inputs'!E92+('Inputs'!F92-'Inputs'!E92)*1/4</x:f>
        <x:v>18.75</x:v>
      </x:c>
      <x:c r="J9" s="55" t="n">
        <x:f>'Inputs'!E92+('Inputs'!F92-'Inputs'!E92)*2/4</x:f>
        <x:v>27.5</x:v>
      </x:c>
      <x:c r="K9" s="55" t="n">
        <x:f>'Inputs'!E92+('Inputs'!F92-'Inputs'!E92)*3/4</x:f>
        <x:v>36.25</x:v>
      </x:c>
      <x:c r="L9" s="55" t="n">
        <x:f>'Inputs'!E92+('Inputs'!F92-'Inputs'!E92)*4/4</x:f>
        <x:v>45</x:v>
      </x:c>
      <x:c r="M9" s="55" t="n">
        <x:f>'Inputs'!F92+('Inputs'!G92-'Inputs'!F92)*1/4</x:f>
        <x:v>67.5</x:v>
      </x:c>
      <x:c r="N9" s="55" t="n">
        <x:f>'Inputs'!F92+('Inputs'!G92-'Inputs'!F92)*2/4</x:f>
        <x:v>90</x:v>
      </x:c>
      <x:c r="O9" s="55" t="n">
        <x:f>'Inputs'!F92+('Inputs'!G92-'Inputs'!F92)*3/4</x:f>
        <x:v>112.5</x:v>
      </x:c>
      <x:c r="P9" s="55" t="n">
        <x:f>'Inputs'!F92+('Inputs'!G92-'Inputs'!F92)*4/4</x:f>
        <x:v>135</x:v>
      </x:c>
      <x:c r="Q9" s="55" t="n">
        <x:f>'Inputs'!G92+('Inputs'!H92-'Inputs'!G92)*1/4</x:f>
        <x:v>162.5</x:v>
      </x:c>
      <x:c r="R9" s="55" t="n">
        <x:f>'Inputs'!G92+('Inputs'!H92-'Inputs'!G92)*2/4</x:f>
        <x:v>190</x:v>
      </x:c>
      <x:c r="S9" s="55" t="n">
        <x:f>'Inputs'!G92+('Inputs'!H92-'Inputs'!G92)*3/4</x:f>
        <x:v>217.5</x:v>
      </x:c>
      <x:c r="T9" s="55" t="n">
        <x:f>'Inputs'!G92+('Inputs'!H92-'Inputs'!G92)*4/4</x:f>
        <x:v>245</x:v>
      </x:c>
    </x:row>
    <x:row r="10" ht="25" customHeight="1">
      <x:c r="A10" s="2"/>
      <x:c r="B10" s="2"/>
      <x:c r="C10" s="32" t="str">
        <x:v>Delivery and customer success</x:v>
      </x:c>
      <x:c r="D10" s="55" t="n">
        <x:f>'Inputs'!D97</x:f>
        <x:v>1</x:v>
      </x:c>
      <x:c r="E10" s="55" t="n">
        <x:f>'Inputs'!D97+('Inputs'!E97-'Inputs'!D97)*1/4</x:f>
        <x:v>4.25</x:v>
      </x:c>
      <x:c r="F10" s="55" t="n">
        <x:f>'Inputs'!D97+('Inputs'!E97-'Inputs'!D97)*2/4</x:f>
        <x:v>7.5</x:v>
      </x:c>
      <x:c r="G10" s="55" t="n">
        <x:f>'Inputs'!D97+('Inputs'!E97-'Inputs'!D97)*3/4</x:f>
        <x:v>10.75</x:v>
      </x:c>
      <x:c r="H10" s="55" t="n">
        <x:f>'Inputs'!D97+('Inputs'!E97-'Inputs'!D97)*4/4</x:f>
        <x:v>14</x:v>
      </x:c>
      <x:c r="I10" s="55" t="n">
        <x:f>'Inputs'!E97+('Inputs'!F97-'Inputs'!E97)*1/4</x:f>
        <x:v>20.5</x:v>
      </x:c>
      <x:c r="J10" s="55" t="n">
        <x:f>'Inputs'!E97+('Inputs'!F97-'Inputs'!E97)*2/4</x:f>
        <x:v>27</x:v>
      </x:c>
      <x:c r="K10" s="55" t="n">
        <x:f>'Inputs'!E97+('Inputs'!F97-'Inputs'!E97)*3/4</x:f>
        <x:v>33.5</x:v>
      </x:c>
      <x:c r="L10" s="55" t="n">
        <x:f>'Inputs'!E97+('Inputs'!F97-'Inputs'!E97)*4/4</x:f>
        <x:v>40</x:v>
      </x:c>
      <x:c r="M10" s="55" t="n">
        <x:f>'Inputs'!F97+('Inputs'!G97-'Inputs'!F97)*1/4</x:f>
        <x:v>55</x:v>
      </x:c>
      <x:c r="N10" s="55" t="n">
        <x:f>'Inputs'!F97+('Inputs'!G97-'Inputs'!F97)*2/4</x:f>
        <x:v>70</x:v>
      </x:c>
      <x:c r="O10" s="55" t="n">
        <x:f>'Inputs'!F97+('Inputs'!G97-'Inputs'!F97)*3/4</x:f>
        <x:v>85</x:v>
      </x:c>
      <x:c r="P10" s="55" t="n">
        <x:f>'Inputs'!F97+('Inputs'!G97-'Inputs'!F97)*4/4</x:f>
        <x:v>100</x:v>
      </x:c>
      <x:c r="Q10" s="55" t="n">
        <x:f>'Inputs'!G97+('Inputs'!H97-'Inputs'!G97)*1/4</x:f>
        <x:v>125</x:v>
      </x:c>
      <x:c r="R10" s="55" t="n">
        <x:f>'Inputs'!G97+('Inputs'!H97-'Inputs'!G97)*2/4</x:f>
        <x:v>150</x:v>
      </x:c>
      <x:c r="S10" s="55" t="n">
        <x:f>'Inputs'!G97+('Inputs'!H97-'Inputs'!G97)*3/4</x:f>
        <x:v>175</x:v>
      </x:c>
      <x:c r="T10" s="55" t="n">
        <x:f>'Inputs'!G97+('Inputs'!H97-'Inputs'!G97)*4/4</x:f>
        <x:v>200</x:v>
      </x:c>
    </x:row>
    <x:row r="11" ht="25" customHeight="1">
      <x:c r="A11" s="2"/>
      <x:c r="B11" s="2"/>
      <x:c r="C11" s="32" t="str">
        <x:v>Leadership and admin</x:v>
      </x:c>
      <x:c r="D11" s="55" t="n">
        <x:f>'Inputs'!D102</x:f>
        <x:v>2</x:v>
      </x:c>
      <x:c r="E11" s="55" t="n">
        <x:f>'Inputs'!D102+('Inputs'!E102-'Inputs'!D102)*1/4</x:f>
        <x:v>2.75</x:v>
      </x:c>
      <x:c r="F11" s="55" t="n">
        <x:f>'Inputs'!D102+('Inputs'!E102-'Inputs'!D102)*2/4</x:f>
        <x:v>3.5</x:v>
      </x:c>
      <x:c r="G11" s="55" t="n">
        <x:f>'Inputs'!D102+('Inputs'!E102-'Inputs'!D102)*3/4</x:f>
        <x:v>4.25</x:v>
      </x:c>
      <x:c r="H11" s="55" t="n">
        <x:f>'Inputs'!D102+('Inputs'!E102-'Inputs'!D102)*4/4</x:f>
        <x:v>5</x:v>
      </x:c>
      <x:c r="I11" s="55" t="n">
        <x:f>'Inputs'!E102+('Inputs'!F102-'Inputs'!E102)*1/4</x:f>
        <x:v>7.5</x:v>
      </x:c>
      <x:c r="J11" s="55" t="n">
        <x:f>'Inputs'!E102+('Inputs'!F102-'Inputs'!E102)*2/4</x:f>
        <x:v>10</x:v>
      </x:c>
      <x:c r="K11" s="55" t="n">
        <x:f>'Inputs'!E102+('Inputs'!F102-'Inputs'!E102)*3/4</x:f>
        <x:v>12.5</x:v>
      </x:c>
      <x:c r="L11" s="55" t="n">
        <x:f>'Inputs'!E102+('Inputs'!F102-'Inputs'!E102)*4/4</x:f>
        <x:v>15</x:v>
      </x:c>
      <x:c r="M11" s="55" t="n">
        <x:f>'Inputs'!F102+('Inputs'!G102-'Inputs'!F102)*1/4</x:f>
        <x:v>18.75</x:v>
      </x:c>
      <x:c r="N11" s="55" t="n">
        <x:f>'Inputs'!F102+('Inputs'!G102-'Inputs'!F102)*2/4</x:f>
        <x:v>22.5</x:v>
      </x:c>
      <x:c r="O11" s="55" t="n">
        <x:f>'Inputs'!F102+('Inputs'!G102-'Inputs'!F102)*3/4</x:f>
        <x:v>26.25</x:v>
      </x:c>
      <x:c r="P11" s="55" t="n">
        <x:f>'Inputs'!F102+('Inputs'!G102-'Inputs'!F102)*4/4</x:f>
        <x:v>30</x:v>
      </x:c>
      <x:c r="Q11" s="55" t="n">
        <x:f>'Inputs'!G102+('Inputs'!H102-'Inputs'!G102)*1/4</x:f>
        <x:v>35</x:v>
      </x:c>
      <x:c r="R11" s="55" t="n">
        <x:f>'Inputs'!G102+('Inputs'!H102-'Inputs'!G102)*2/4</x:f>
        <x:v>40</x:v>
      </x:c>
      <x:c r="S11" s="55" t="n">
        <x:f>'Inputs'!G102+('Inputs'!H102-'Inputs'!G102)*3/4</x:f>
        <x:v>45</x:v>
      </x:c>
      <x:c r="T11" s="55" t="n">
        <x:f>'Inputs'!G102+('Inputs'!H102-'Inputs'!G102)*4/4</x:f>
        <x:v>50</x:v>
      </x:c>
    </x:row>
    <x:row r="12" ht="25" customHeight="1">
      <x:c r="A12" s="2"/>
      <x:c r="B12" s="2"/>
      <x:c r="C12" s="60" t="str">
        <x:v>Total internal headcount</x:v>
      </x:c>
      <x:c r="D12" s="48" t="n">
        <x:f>SUM(D8:D11)</x:f>
        <x:v>8</x:v>
      </x:c>
      <x:c r="E12" s="48" t="n">
        <x:f>SUM(E8:E11)</x:f>
        <x:v>17.5</x:v>
      </x:c>
      <x:c r="F12" s="48" t="n">
        <x:f>SUM(F8:F11)</x:f>
        <x:v>27</x:v>
      </x:c>
      <x:c r="G12" s="48" t="n">
        <x:f>SUM(G8:G11)</x:f>
        <x:v>36.5</x:v>
      </x:c>
      <x:c r="H12" s="48" t="n">
        <x:f>SUM(H8:H11)</x:f>
        <x:v>46</x:v>
      </x:c>
      <x:c r="I12" s="48" t="n">
        <x:f>SUM(I8:I11)</x:f>
        <x:v>69.5</x:v>
      </x:c>
      <x:c r="J12" s="48" t="n">
        <x:f>SUM(J8:J11)</x:f>
        <x:v>93</x:v>
      </x:c>
      <x:c r="K12" s="48" t="n">
        <x:f>SUM(K8:K11)</x:f>
        <x:v>116.5</x:v>
      </x:c>
      <x:c r="L12" s="48" t="n">
        <x:f>SUM(L8:L11)</x:f>
        <x:v>140</x:v>
      </x:c>
      <x:c r="M12" s="48" t="n">
        <x:f>SUM(M8:M11)</x:f>
        <x:v>192.5</x:v>
      </x:c>
      <x:c r="N12" s="48" t="n">
        <x:f>SUM(N8:N11)</x:f>
        <x:v>245</x:v>
      </x:c>
      <x:c r="O12" s="48" t="n">
        <x:f>SUM(O8:O11)</x:f>
        <x:v>297.5</x:v>
      </x:c>
      <x:c r="P12" s="48" t="n">
        <x:f>SUM(P8:P11)</x:f>
        <x:v>350</x:v>
      </x:c>
      <x:c r="Q12" s="48" t="n">
        <x:f>SUM(Q8:Q11)</x:f>
        <x:v>421.25</x:v>
      </x:c>
      <x:c r="R12" s="48" t="n">
        <x:f>SUM(R8:R11)</x:f>
        <x:v>492.5</x:v>
      </x:c>
      <x:c r="S12" s="48" t="n">
        <x:f>SUM(S8:S11)</x:f>
        <x:v>563.75</x:v>
      </x:c>
      <x:c r="T12" s="48" t="n">
        <x:f>SUM(T8:T11)</x:f>
        <x:v>635</x:v>
      </x:c>
    </x:row>
    <x:row r="13" ht="25" customHeight="1">
      <x:c r="A13" s="2"/>
      <x:c r="B13" s="2"/>
      <x:c r="C13" s="32" t="str">
        <x:v>AEs within sales team</x:v>
      </x:c>
      <x:c r="D13" s="55" t="n">
        <x:f>'Inputs'!D107</x:f>
        <x:v>0</x:v>
      </x:c>
      <x:c r="E13" s="55" t="n">
        <x:f>'Inputs'!D107+('Inputs'!E107-'Inputs'!D107)*1/4</x:f>
        <x:v>1.25</x:v>
      </x:c>
      <x:c r="F13" s="55" t="n">
        <x:f>'Inputs'!D107+('Inputs'!E107-'Inputs'!D107)*2/4</x:f>
        <x:v>2.5</x:v>
      </x:c>
      <x:c r="G13" s="55" t="n">
        <x:f>'Inputs'!D107+('Inputs'!E107-'Inputs'!D107)*3/4</x:f>
        <x:v>3.75</x:v>
      </x:c>
      <x:c r="H13" s="55" t="n">
        <x:f>'Inputs'!D107+('Inputs'!E107-'Inputs'!D107)*4/4</x:f>
        <x:v>5</x:v>
      </x:c>
      <x:c r="I13" s="55" t="n">
        <x:f>'Inputs'!E107+('Inputs'!F107-'Inputs'!E107)*1/4</x:f>
        <x:v>10.75</x:v>
      </x:c>
      <x:c r="J13" s="55" t="n">
        <x:f>'Inputs'!E107+('Inputs'!F107-'Inputs'!E107)*2/4</x:f>
        <x:v>16.5</x:v>
      </x:c>
      <x:c r="K13" s="55" t="n">
        <x:f>'Inputs'!E107+('Inputs'!F107-'Inputs'!E107)*3/4</x:f>
        <x:v>22.25</x:v>
      </x:c>
      <x:c r="L13" s="55" t="n">
        <x:f>'Inputs'!E107+('Inputs'!F107-'Inputs'!E107)*4/4</x:f>
        <x:v>28</x:v>
      </x:c>
      <x:c r="M13" s="55" t="n">
        <x:f>'Inputs'!F107+('Inputs'!G107-'Inputs'!F107)*1/4</x:f>
        <x:v>40.5</x:v>
      </x:c>
      <x:c r="N13" s="55" t="n">
        <x:f>'Inputs'!F107+('Inputs'!G107-'Inputs'!F107)*2/4</x:f>
        <x:v>53</x:v>
      </x:c>
      <x:c r="O13" s="55" t="n">
        <x:f>'Inputs'!F107+('Inputs'!G107-'Inputs'!F107)*3/4</x:f>
        <x:v>65.5</x:v>
      </x:c>
      <x:c r="P13" s="55" t="n">
        <x:f>'Inputs'!F107+('Inputs'!G107-'Inputs'!F107)*4/4</x:f>
        <x:v>78</x:v>
      </x:c>
      <x:c r="Q13" s="55" t="n">
        <x:f>'Inputs'!G107+('Inputs'!H107-'Inputs'!G107)*1/4</x:f>
        <x:v>94.75</x:v>
      </x:c>
      <x:c r="R13" s="55" t="n">
        <x:f>'Inputs'!G107+('Inputs'!H107-'Inputs'!G107)*2/4</x:f>
        <x:v>111.5</x:v>
      </x:c>
      <x:c r="S13" s="55" t="n">
        <x:f>'Inputs'!G107+('Inputs'!H107-'Inputs'!G107)*3/4</x:f>
        <x:v>128.25</x:v>
      </x:c>
      <x:c r="T13" s="55" t="n">
        <x:f>'Inputs'!G107+('Inputs'!H107-'Inputs'!G107)*4/4</x:f>
        <x:v>145</x:v>
      </x:c>
    </x:row>
    <x:row r="14" ht="25" customHeight="1">
      <x:c r="A14" s="2"/>
      <x:c r="B14" s="2"/>
      <x:c r="C14" s="32" t="str">
        <x:v>New AEs this quarter</x:v>
      </x:c>
      <x:c r="D14" s="26" t="n">
        <x:f>D13</x:f>
        <x:v>0</x:v>
      </x:c>
      <x:c r="E14" s="26" t="n">
        <x:f>MAX(0,E13-D13)</x:f>
        <x:v>1.25</x:v>
      </x:c>
      <x:c r="F14" s="26" t="n">
        <x:f>MAX(0,F13-E13)</x:f>
        <x:v>1.25</x:v>
      </x:c>
      <x:c r="G14" s="26" t="n">
        <x:f>MAX(0,G13-F13)</x:f>
        <x:v>1.25</x:v>
      </x:c>
      <x:c r="H14" s="26" t="n">
        <x:f>MAX(0,H13-G13)</x:f>
        <x:v>1.25</x:v>
      </x:c>
      <x:c r="I14" s="26" t="n">
        <x:f>MAX(0,I13-H13)</x:f>
        <x:v>5.75</x:v>
      </x:c>
      <x:c r="J14" s="26" t="n">
        <x:f>MAX(0,J13-I13)</x:f>
        <x:v>5.75</x:v>
      </x:c>
      <x:c r="K14" s="26" t="n">
        <x:f>MAX(0,K13-J13)</x:f>
        <x:v>5.75</x:v>
      </x:c>
      <x:c r="L14" s="26" t="n">
        <x:f>MAX(0,L13-K13)</x:f>
        <x:v>5.75</x:v>
      </x:c>
      <x:c r="M14" s="26" t="n">
        <x:f>MAX(0,M13-L13)</x:f>
        <x:v>12.5</x:v>
      </x:c>
      <x:c r="N14" s="26" t="n">
        <x:f>MAX(0,N13-M13)</x:f>
        <x:v>12.5</x:v>
      </x:c>
      <x:c r="O14" s="26" t="n">
        <x:f>MAX(0,O13-N13)</x:f>
        <x:v>12.5</x:v>
      </x:c>
      <x:c r="P14" s="26" t="n">
        <x:f>MAX(0,P13-O13)</x:f>
        <x:v>12.5</x:v>
      </x:c>
      <x:c r="Q14" s="26" t="n">
        <x:f>MAX(0,Q13-P13)</x:f>
        <x:v>16.75</x:v>
      </x:c>
      <x:c r="R14" s="26" t="n">
        <x:f>MAX(0,R13-Q13)</x:f>
        <x:v>16.75</x:v>
      </x:c>
      <x:c r="S14" s="26" t="n">
        <x:f>MAX(0,S13-R13)</x:f>
        <x:v>16.75</x:v>
      </x:c>
      <x:c r="T14" s="26" t="n">
        <x:f>MAX(0,T13-S13)</x:f>
        <x:v>16.75</x:v>
      </x:c>
    </x:row>
    <x:row r="15" ht="25" customHeight="1">
      <x:c r="A15" s="2"/>
      <x:c r="B15" s="2"/>
      <x:c r="C15" s="32" t="str">
        <x:v>Mature-equivalent AEs</x:v>
      </x:c>
      <x:c r="D15" s="26" t="n">
        <x:f>0</x:f>
        <x:v>0</x:v>
      </x:c>
      <x:c r="E15" s="26" t="n">
        <x:f>E14*0.125+D14*0.5</x:f>
        <x:v>0.15625</x:v>
      </x:c>
      <x:c r="F15" s="26" t="n">
        <x:f>D13+E14*0.5+F14*0.125</x:f>
        <x:v>0.78125</x:v>
      </x:c>
      <x:c r="G15" s="26" t="n">
        <x:f>E13+F14*0.5+G14*0.125</x:f>
        <x:v>2.03125</x:v>
      </x:c>
      <x:c r="H15" s="26" t="n">
        <x:f>F13+G14*0.5+H14*0.125</x:f>
        <x:v>3.28125</x:v>
      </x:c>
      <x:c r="I15" s="26" t="n">
        <x:f>G13+H14*0.5+I14*0.125</x:f>
        <x:v>5.09375</x:v>
      </x:c>
      <x:c r="J15" s="26" t="n">
        <x:f>H13+I14*0.5+J14*0.125</x:f>
        <x:v>8.59375</x:v>
      </x:c>
      <x:c r="K15" s="26" t="n">
        <x:f>I13+J14*0.5+K14*0.125</x:f>
        <x:v>14.34375</x:v>
      </x:c>
      <x:c r="L15" s="26" t="n">
        <x:f>J13+K14*0.5+L14*0.125</x:f>
        <x:v>20.09375</x:v>
      </x:c>
      <x:c r="M15" s="26" t="n">
        <x:f>K13+L14*0.5+M14*0.125</x:f>
        <x:v>26.6875</x:v>
      </x:c>
      <x:c r="N15" s="26" t="n">
        <x:f>L13+M14*0.5+N14*0.125</x:f>
        <x:v>35.8125</x:v>
      </x:c>
      <x:c r="O15" s="26" t="n">
        <x:f>M13+N14*0.5+O14*0.125</x:f>
        <x:v>48.3125</x:v>
      </x:c>
      <x:c r="P15" s="26" t="n">
        <x:f>N13+O14*0.5+P14*0.125</x:f>
        <x:v>60.8125</x:v>
      </x:c>
      <x:c r="Q15" s="26" t="n">
        <x:f>O13+P14*0.5+Q14*0.125</x:f>
        <x:v>73.84375</x:v>
      </x:c>
      <x:c r="R15" s="26" t="n">
        <x:f>P13+Q14*0.5+R14*0.125</x:f>
        <x:v>88.46875</x:v>
      </x:c>
      <x:c r="S15" s="26" t="n">
        <x:f>Q13+R14*0.5+S14*0.125</x:f>
        <x:v>105.21875</x:v>
      </x:c>
      <x:c r="T15" s="26" t="n">
        <x:f>R13+S14*0.5+T14*0.125</x:f>
        <x:v>121.96875</x:v>
      </x:c>
    </x:row>
    <x:row r="16" ht="25" customHeight="1">
      <x:c r="A16" s="2"/>
      <x:c r="B16" s="2"/>
      <x:c r="C16" s="32"/>
      <x:c r="D16" s="26"/>
      <x:c r="E16" s="26"/>
      <x:c r="F16" s="26"/>
      <x:c r="G16" s="26"/>
      <x:c r="H16" s="26"/>
      <x:c r="I16" s="26"/>
      <x:c r="J16" s="26"/>
      <x:c r="K16" s="26"/>
      <x:c r="L16" s="26"/>
      <x:c r="M16" s="26"/>
      <x:c r="N16" s="26"/>
      <x:c r="O16" s="26"/>
      <x:c r="P16" s="26"/>
      <x:c r="Q16" s="26"/>
      <x:c r="R16" s="26"/>
      <x:c r="S16" s="26"/>
      <x:c r="T16" s="26"/>
    </x:row>
    <x:row r="17" ht="27" customHeight="1">
      <x:c r="A17" s="2"/>
      <x:c r="B17" s="2"/>
      <x:c r="C17" s="61" t="str">
        <x:v>Average paid FTE</x:v>
      </x:c>
      <x:c r="D17" s="46"/>
      <x:c r="E17" s="46"/>
      <x:c r="F17" s="46"/>
      <x:c r="G17" s="46"/>
      <x:c r="H17" s="46"/>
      <x:c r="I17" s="46"/>
      <x:c r="J17" s="46"/>
      <x:c r="K17" s="46"/>
      <x:c r="L17" s="46"/>
      <x:c r="M17" s="46"/>
      <x:c r="N17" s="46"/>
      <x:c r="O17" s="46"/>
      <x:c r="P17" s="46"/>
      <x:c r="Q17" s="46"/>
      <x:c r="R17" s="46"/>
      <x:c r="S17" s="46"/>
      <x:c r="T17" s="46"/>
    </x:row>
    <x:row r="18" ht="25" customHeight="1">
      <x:c r="A18" s="2"/>
      <x:c r="B18" s="2"/>
      <x:c r="C18" s="32" t="str">
        <x:v>Average Product and engineering</x:v>
      </x:c>
      <x:c r="D18" s="26" t="n">
        <x:f>D8/2</x:f>
        <x:v>2</x:v>
      </x:c>
      <x:c r="E18" s="26" t="n">
        <x:f>(D8+E8)/2</x:f>
        <x:v>5.625</x:v>
      </x:c>
      <x:c r="F18" s="26" t="n">
        <x:f>(E8+F8)/2</x:f>
        <x:v>8.875</x:v>
      </x:c>
      <x:c r="G18" s="26" t="n">
        <x:f>(F8+G8)/2</x:f>
        <x:v>12.125</x:v>
      </x:c>
      <x:c r="H18" s="26" t="n">
        <x:f>(G8+H8)/2</x:f>
        <x:v>15.375</x:v>
      </x:c>
      <x:c r="I18" s="26" t="n">
        <x:f>(H8+I8)/2</x:f>
        <x:v>19.875</x:v>
      </x:c>
      <x:c r="J18" s="26" t="n">
        <x:f>(I8+J8)/2</x:f>
        <x:v>25.625</x:v>
      </x:c>
      <x:c r="K18" s="26" t="n">
        <x:f>(J8+K8)/2</x:f>
        <x:v>31.375</x:v>
      </x:c>
      <x:c r="L18" s="26" t="n">
        <x:f>(K8+L8)/2</x:f>
        <x:v>37.125</x:v>
      </x:c>
      <x:c r="M18" s="26" t="n">
        <x:f>(L8+M8)/2</x:f>
        <x:v>45.625</x:v>
      </x:c>
      <x:c r="N18" s="26" t="n">
        <x:f>(M8+N8)/2</x:f>
        <x:v>56.875</x:v>
      </x:c>
      <x:c r="O18" s="26" t="n">
        <x:f>(N8+O8)/2</x:f>
        <x:v>68.125</x:v>
      </x:c>
      <x:c r="P18" s="26" t="n">
        <x:f>(O8+P8)/2</x:f>
        <x:v>79.375</x:v>
      </x:c>
      <x:c r="Q18" s="26" t="n">
        <x:f>(P8+Q8)/2</x:f>
        <x:v>91.875</x:v>
      </x:c>
      <x:c r="R18" s="26" t="n">
        <x:f>(Q8+R8)/2</x:f>
        <x:v>105.625</x:v>
      </x:c>
      <x:c r="S18" s="26" t="n">
        <x:f>(R8+S8)/2</x:f>
        <x:v>119.375</x:v>
      </x:c>
      <x:c r="T18" s="26" t="n">
        <x:f>(S8+T8)/2</x:f>
        <x:v>133.125</x:v>
      </x:c>
    </x:row>
    <x:row r="19" ht="25" customHeight="1">
      <x:c r="A19" s="2"/>
      <x:c r="B19" s="2"/>
      <x:c r="C19" s="32" t="str">
        <x:v>Average Sales and marketing</x:v>
      </x:c>
      <x:c r="D19" s="26" t="n">
        <x:f>D9/2</x:f>
        <x:v>0.5</x:v>
      </x:c>
      <x:c r="E19" s="26" t="n">
        <x:f>(D9+E9)/2</x:f>
        <x:v>2.125</x:v>
      </x:c>
      <x:c r="F19" s="26" t="n">
        <x:f>(E9+F9)/2</x:f>
        <x:v>4.375</x:v>
      </x:c>
      <x:c r="G19" s="26" t="n">
        <x:f>(F9+G9)/2</x:f>
        <x:v>6.625</x:v>
      </x:c>
      <x:c r="H19" s="26" t="n">
        <x:f>(G9+H9)/2</x:f>
        <x:v>8.875</x:v>
      </x:c>
      <x:c r="I19" s="26" t="n">
        <x:f>(H9+I9)/2</x:f>
        <x:v>14.375</x:v>
      </x:c>
      <x:c r="J19" s="26" t="n">
        <x:f>(I9+J9)/2</x:f>
        <x:v>23.125</x:v>
      </x:c>
      <x:c r="K19" s="26" t="n">
        <x:f>(J9+K9)/2</x:f>
        <x:v>31.875</x:v>
      </x:c>
      <x:c r="L19" s="26" t="n">
        <x:f>(K9+L9)/2</x:f>
        <x:v>40.625</x:v>
      </x:c>
      <x:c r="M19" s="26" t="n">
        <x:f>(L9+M9)/2</x:f>
        <x:v>56.25</x:v>
      </x:c>
      <x:c r="N19" s="26" t="n">
        <x:f>(M9+N9)/2</x:f>
        <x:v>78.75</x:v>
      </x:c>
      <x:c r="O19" s="26" t="n">
        <x:f>(N9+O9)/2</x:f>
        <x:v>101.25</x:v>
      </x:c>
      <x:c r="P19" s="26" t="n">
        <x:f>(O9+P9)/2</x:f>
        <x:v>123.75</x:v>
      </x:c>
      <x:c r="Q19" s="26" t="n">
        <x:f>(P9+Q9)/2</x:f>
        <x:v>148.75</x:v>
      </x:c>
      <x:c r="R19" s="26" t="n">
        <x:f>(Q9+R9)/2</x:f>
        <x:v>176.25</x:v>
      </x:c>
      <x:c r="S19" s="26" t="n">
        <x:f>(R9+S9)/2</x:f>
        <x:v>203.75</x:v>
      </x:c>
      <x:c r="T19" s="26" t="n">
        <x:f>(S9+T9)/2</x:f>
        <x:v>231.25</x:v>
      </x:c>
    </x:row>
    <x:row r="20" ht="25" customHeight="1">
      <x:c r="A20" s="2"/>
      <x:c r="B20" s="2"/>
      <x:c r="C20" s="32" t="str">
        <x:v>Average Delivery and customer success</x:v>
      </x:c>
      <x:c r="D20" s="26" t="n">
        <x:f>D10/2</x:f>
        <x:v>0.5</x:v>
      </x:c>
      <x:c r="E20" s="26" t="n">
        <x:f>(D10+E10)/2</x:f>
        <x:v>2.625</x:v>
      </x:c>
      <x:c r="F20" s="26" t="n">
        <x:f>(E10+F10)/2</x:f>
        <x:v>5.875</x:v>
      </x:c>
      <x:c r="G20" s="26" t="n">
        <x:f>(F10+G10)/2</x:f>
        <x:v>9.125</x:v>
      </x:c>
      <x:c r="H20" s="26" t="n">
        <x:f>(G10+H10)/2</x:f>
        <x:v>12.375</x:v>
      </x:c>
      <x:c r="I20" s="26" t="n">
        <x:f>(H10+I10)/2</x:f>
        <x:v>17.25</x:v>
      </x:c>
      <x:c r="J20" s="26" t="n">
        <x:f>(I10+J10)/2</x:f>
        <x:v>23.75</x:v>
      </x:c>
      <x:c r="K20" s="26" t="n">
        <x:f>(J10+K10)/2</x:f>
        <x:v>30.25</x:v>
      </x:c>
      <x:c r="L20" s="26" t="n">
        <x:f>(K10+L10)/2</x:f>
        <x:v>36.75</x:v>
      </x:c>
      <x:c r="M20" s="26" t="n">
        <x:f>(L10+M10)/2</x:f>
        <x:v>47.5</x:v>
      </x:c>
      <x:c r="N20" s="26" t="n">
        <x:f>(M10+N10)/2</x:f>
        <x:v>62.5</x:v>
      </x:c>
      <x:c r="O20" s="26" t="n">
        <x:f>(N10+O10)/2</x:f>
        <x:v>77.5</x:v>
      </x:c>
      <x:c r="P20" s="26" t="n">
        <x:f>(O10+P10)/2</x:f>
        <x:v>92.5</x:v>
      </x:c>
      <x:c r="Q20" s="26" t="n">
        <x:f>(P10+Q10)/2</x:f>
        <x:v>112.5</x:v>
      </x:c>
      <x:c r="R20" s="26" t="n">
        <x:f>(Q10+R10)/2</x:f>
        <x:v>137.5</x:v>
      </x:c>
      <x:c r="S20" s="26" t="n">
        <x:f>(R10+S10)/2</x:f>
        <x:v>162.5</x:v>
      </x:c>
      <x:c r="T20" s="26" t="n">
        <x:f>(S10+T10)/2</x:f>
        <x:v>187.5</x:v>
      </x:c>
    </x:row>
    <x:row r="21" ht="25" customHeight="1">
      <x:c r="A21" s="2"/>
      <x:c r="B21" s="2"/>
      <x:c r="C21" s="32" t="str">
        <x:v>Average Leadership and admin</x:v>
      </x:c>
      <x:c r="D21" s="26" t="n">
        <x:f>D11/2</x:f>
        <x:v>1</x:v>
      </x:c>
      <x:c r="E21" s="26" t="n">
        <x:f>(D11+E11)/2</x:f>
        <x:v>2.375</x:v>
      </x:c>
      <x:c r="F21" s="26" t="n">
        <x:f>(E11+F11)/2</x:f>
        <x:v>3.125</x:v>
      </x:c>
      <x:c r="G21" s="26" t="n">
        <x:f>(F11+G11)/2</x:f>
        <x:v>3.875</x:v>
      </x:c>
      <x:c r="H21" s="26" t="n">
        <x:f>(G11+H11)/2</x:f>
        <x:v>4.625</x:v>
      </x:c>
      <x:c r="I21" s="26" t="n">
        <x:f>(H11+I11)/2</x:f>
        <x:v>6.25</x:v>
      </x:c>
      <x:c r="J21" s="26" t="n">
        <x:f>(I11+J11)/2</x:f>
        <x:v>8.75</x:v>
      </x:c>
      <x:c r="K21" s="26" t="n">
        <x:f>(J11+K11)/2</x:f>
        <x:v>11.25</x:v>
      </x:c>
      <x:c r="L21" s="26" t="n">
        <x:f>(K11+L11)/2</x:f>
        <x:v>13.75</x:v>
      </x:c>
      <x:c r="M21" s="26" t="n">
        <x:f>(L11+M11)/2</x:f>
        <x:v>16.875</x:v>
      </x:c>
      <x:c r="N21" s="26" t="n">
        <x:f>(M11+N11)/2</x:f>
        <x:v>20.625</x:v>
      </x:c>
      <x:c r="O21" s="26" t="n">
        <x:f>(N11+O11)/2</x:f>
        <x:v>24.375</x:v>
      </x:c>
      <x:c r="P21" s="26" t="n">
        <x:f>(O11+P11)/2</x:f>
        <x:v>28.125</x:v>
      </x:c>
      <x:c r="Q21" s="26" t="n">
        <x:f>(P11+Q11)/2</x:f>
        <x:v>32.5</x:v>
      </x:c>
      <x:c r="R21" s="26" t="n">
        <x:f>(Q11+R11)/2</x:f>
        <x:v>37.5</x:v>
      </x:c>
      <x:c r="S21" s="26" t="n">
        <x:f>(R11+S11)/2</x:f>
        <x:v>42.5</x:v>
      </x:c>
      <x:c r="T21" s="26" t="n">
        <x:f>(S11+T11)/2</x:f>
        <x:v>47.5</x:v>
      </x:c>
    </x:row>
    <x:row r="22" ht="25" customHeight="1">
      <x:c r="A22" s="2"/>
      <x:c r="B22" s="2"/>
      <x:c r="C22" s="60" t="str">
        <x:v>Average total paid FTE</x:v>
      </x:c>
      <x:c r="D22" s="48" t="n">
        <x:f>SUM(D18:D21)</x:f>
        <x:v>4</x:v>
      </x:c>
      <x:c r="E22" s="48" t="n">
        <x:f>SUM(E18:E21)</x:f>
        <x:v>12.75</x:v>
      </x:c>
      <x:c r="F22" s="48" t="n">
        <x:f>SUM(F18:F21)</x:f>
        <x:v>22.25</x:v>
      </x:c>
      <x:c r="G22" s="48" t="n">
        <x:f>SUM(G18:G21)</x:f>
        <x:v>31.75</x:v>
      </x:c>
      <x:c r="H22" s="48" t="n">
        <x:f>SUM(H18:H21)</x:f>
        <x:v>41.25</x:v>
      </x:c>
      <x:c r="I22" s="48" t="n">
        <x:f>SUM(I18:I21)</x:f>
        <x:v>57.75</x:v>
      </x:c>
      <x:c r="J22" s="48" t="n">
        <x:f>SUM(J18:J21)</x:f>
        <x:v>81.25</x:v>
      </x:c>
      <x:c r="K22" s="48" t="n">
        <x:f>SUM(K18:K21)</x:f>
        <x:v>104.75</x:v>
      </x:c>
      <x:c r="L22" s="48" t="n">
        <x:f>SUM(L18:L21)</x:f>
        <x:v>128.25</x:v>
      </x:c>
      <x:c r="M22" s="48" t="n">
        <x:f>SUM(M18:M21)</x:f>
        <x:v>166.25</x:v>
      </x:c>
      <x:c r="N22" s="48" t="n">
        <x:f>SUM(N18:N21)</x:f>
        <x:v>218.75</x:v>
      </x:c>
      <x:c r="O22" s="48" t="n">
        <x:f>SUM(O18:O21)</x:f>
        <x:v>271.25</x:v>
      </x:c>
      <x:c r="P22" s="48" t="n">
        <x:f>SUM(P18:P21)</x:f>
        <x:v>323.75</x:v>
      </x:c>
      <x:c r="Q22" s="48" t="n">
        <x:f>SUM(Q18:Q21)</x:f>
        <x:v>385.625</x:v>
      </x:c>
      <x:c r="R22" s="48" t="n">
        <x:f>SUM(R18:R21)</x:f>
        <x:v>456.875</x:v>
      </x:c>
      <x:c r="S22" s="48" t="n">
        <x:f>SUM(S18:S21)</x:f>
        <x:v>528.125</x:v>
      </x:c>
      <x:c r="T22" s="48" t="n">
        <x:f>SUM(T18:T21)</x:f>
        <x:v>599.375</x:v>
      </x:c>
    </x:row>
    <x:row r="23" ht="25" customHeight="1">
      <x:c r="A23" s="2"/>
      <x:c r="B23" s="2"/>
      <x:c r="C23" s="32" t="str">
        <x:v>Departmental additions</x:v>
      </x:c>
      <x:c r="D23" s="26" t="n">
        <x:f>D12</x:f>
        <x:v>8</x:v>
      </x:c>
      <x:c r="E23" s="26" t="n">
        <x:f>MAX(0,E8-D8)+MAX(0,E9-D9)+MAX(0,E10-D10)+MAX(0,E11-D11)</x:f>
        <x:v>9.5</x:v>
      </x:c>
      <x:c r="F23" s="26" t="n">
        <x:f>MAX(0,F8-E8)+MAX(0,F9-E9)+MAX(0,F10-E10)+MAX(0,F11-E11)</x:f>
        <x:v>9.5</x:v>
      </x:c>
      <x:c r="G23" s="26" t="n">
        <x:f>MAX(0,G8-F8)+MAX(0,G9-F9)+MAX(0,G10-F10)+MAX(0,G11-F11)</x:f>
        <x:v>9.5</x:v>
      </x:c>
      <x:c r="H23" s="26" t="n">
        <x:f>MAX(0,H8-G8)+MAX(0,H9-G9)+MAX(0,H10-G10)+MAX(0,H11-G11)</x:f>
        <x:v>9.5</x:v>
      </x:c>
      <x:c r="I23" s="26" t="n">
        <x:f>MAX(0,I8-H8)+MAX(0,I9-H9)+MAX(0,I10-H10)+MAX(0,I11-H11)</x:f>
        <x:v>23.5</x:v>
      </x:c>
      <x:c r="J23" s="26" t="n">
        <x:f>MAX(0,J8-I8)+MAX(0,J9-I9)+MAX(0,J10-I10)+MAX(0,J11-I11)</x:f>
        <x:v>23.5</x:v>
      </x:c>
      <x:c r="K23" s="26" t="n">
        <x:f>MAX(0,K8-J8)+MAX(0,K9-J9)+MAX(0,K10-J10)+MAX(0,K11-J11)</x:f>
        <x:v>23.5</x:v>
      </x:c>
      <x:c r="L23" s="26" t="n">
        <x:f>MAX(0,L8-K8)+MAX(0,L9-K9)+MAX(0,L10-K10)+MAX(0,L11-K11)</x:f>
        <x:v>23.5</x:v>
      </x:c>
      <x:c r="M23" s="26" t="n">
        <x:f>MAX(0,M8-L8)+MAX(0,M9-L9)+MAX(0,M10-L10)+MAX(0,M11-L11)</x:f>
        <x:v>52.5</x:v>
      </x:c>
      <x:c r="N23" s="26" t="n">
        <x:f>MAX(0,N8-M8)+MAX(0,N9-M9)+MAX(0,N10-M10)+MAX(0,N11-M11)</x:f>
        <x:v>52.5</x:v>
      </x:c>
      <x:c r="O23" s="26" t="n">
        <x:f>MAX(0,O8-N8)+MAX(0,O9-N9)+MAX(0,O10-N10)+MAX(0,O11-N11)</x:f>
        <x:v>52.5</x:v>
      </x:c>
      <x:c r="P23" s="26" t="n">
        <x:f>MAX(0,P8-O8)+MAX(0,P9-O9)+MAX(0,P10-O10)+MAX(0,P11-O11)</x:f>
        <x:v>52.5</x:v>
      </x:c>
      <x:c r="Q23" s="26" t="n">
        <x:f>MAX(0,Q8-P8)+MAX(0,Q9-P9)+MAX(0,Q10-P10)+MAX(0,Q11-P11)</x:f>
        <x:v>71.25</x:v>
      </x:c>
      <x:c r="R23" s="26" t="n">
        <x:f>MAX(0,R8-Q8)+MAX(0,R9-Q9)+MAX(0,R10-Q10)+MAX(0,R11-Q11)</x:f>
        <x:v>71.25</x:v>
      </x:c>
      <x:c r="S23" s="26" t="n">
        <x:f>MAX(0,S8-R8)+MAX(0,S9-R9)+MAX(0,S10-R10)+MAX(0,S11-R11)</x:f>
        <x:v>71.25</x:v>
      </x:c>
      <x:c r="T23" s="26" t="n">
        <x:f>MAX(0,T8-S8)+MAX(0,T9-S9)+MAX(0,T10-S10)+MAX(0,T11-S11)</x:f>
        <x:v>71.25</x:v>
      </x:c>
    </x:row>
    <x:row r="24" ht="25" customHeight="1">
      <x:c r="A24" s="2"/>
      <x:c r="B24" s="2"/>
      <x:c r="C24" s="32" t="str">
        <x:v>Average delivery FTE</x:v>
      </x:c>
      <x:c r="D24" s="26" t="n">
        <x:f>D20</x:f>
        <x:v>0.5</x:v>
      </x:c>
      <x:c r="E24" s="26" t="n">
        <x:f>E20</x:f>
        <x:v>2.625</x:v>
      </x:c>
      <x:c r="F24" s="26" t="n">
        <x:f>F20</x:f>
        <x:v>5.875</x:v>
      </x:c>
      <x:c r="G24" s="26" t="n">
        <x:f>G20</x:f>
        <x:v>9.125</x:v>
      </x:c>
      <x:c r="H24" s="26" t="n">
        <x:f>H20</x:f>
        <x:v>12.375</x:v>
      </x:c>
      <x:c r="I24" s="26" t="n">
        <x:f>I20</x:f>
        <x:v>17.25</x:v>
      </x:c>
      <x:c r="J24" s="26" t="n">
        <x:f>J20</x:f>
        <x:v>23.75</x:v>
      </x:c>
      <x:c r="K24" s="26" t="n">
        <x:f>K20</x:f>
        <x:v>30.25</x:v>
      </x:c>
      <x:c r="L24" s="26" t="n">
        <x:f>L20</x:f>
        <x:v>36.75</x:v>
      </x:c>
      <x:c r="M24" s="26" t="n">
        <x:f>M20</x:f>
        <x:v>47.5</x:v>
      </x:c>
      <x:c r="N24" s="26" t="n">
        <x:f>N20</x:f>
        <x:v>62.5</x:v>
      </x:c>
      <x:c r="O24" s="26" t="n">
        <x:f>O20</x:f>
        <x:v>77.5</x:v>
      </x:c>
      <x:c r="P24" s="26" t="n">
        <x:f>P20</x:f>
        <x:v>92.5</x:v>
      </x:c>
      <x:c r="Q24" s="26" t="n">
        <x:f>Q20</x:f>
        <x:v>112.5</x:v>
      </x:c>
      <x:c r="R24" s="26" t="n">
        <x:f>R20</x:f>
        <x:v>137.5</x:v>
      </x:c>
      <x:c r="S24" s="26" t="n">
        <x:f>S20</x:f>
        <x:v>162.5</x:v>
      </x:c>
      <x:c r="T24" s="26" t="n">
        <x:f>T20</x:f>
        <x:v>187.5</x:v>
      </x:c>
    </x:row>
    <x:row r="25" ht="25" customHeight="1">
      <x:c r="A25" s="2"/>
      <x:c r="B25" s="2"/>
      <x:c r="C25" s="32"/>
      <x:c r="D25" s="3"/>
      <x:c r="E25" s="3"/>
      <x:c r="F25" s="3"/>
      <x:c r="G25" s="3"/>
      <x:c r="H25" s="3"/>
      <x:c r="I25" s="3"/>
      <x:c r="J25" s="3"/>
      <x:c r="K25" s="3"/>
      <x:c r="L25" s="3"/>
      <x:c r="M25" s="3"/>
      <x:c r="N25" s="3"/>
      <x:c r="O25" s="3"/>
      <x:c r="P25" s="3"/>
      <x:c r="Q25" s="3"/>
      <x:c r="R25" s="3"/>
      <x:c r="S25" s="3"/>
      <x:c r="T25" s="3"/>
    </x:row>
    <x:row r="26" ht="25" customHeight="1">
      <x:c r="A26" s="2"/>
      <x:c r="B26" s="2"/>
      <x:c r="C26" s="32"/>
      <x:c r="D26" s="3"/>
      <x:c r="E26" s="3"/>
      <x:c r="F26" s="3"/>
      <x:c r="G26" s="3"/>
      <x:c r="H26" s="3"/>
      <x:c r="I26" s="3"/>
      <x:c r="J26" s="3"/>
      <x:c r="K26" s="3"/>
      <x:c r="L26" s="3"/>
      <x:c r="M26" s="3"/>
      <x:c r="N26" s="3"/>
      <x:c r="O26" s="3"/>
      <x:c r="P26" s="3"/>
      <x:c r="Q26" s="3"/>
      <x:c r="R26" s="3"/>
      <x:c r="S26" s="3"/>
      <x:c r="T26" s="3"/>
    </x:row>
    <x:row r="27" ht="27" customHeight="1">
      <x:c r="A27" s="2"/>
      <x:c r="B27" s="2"/>
      <x:c r="C27" s="61" t="str">
        <x:v>Loaded payroll, EUR</x:v>
      </x:c>
      <x:c r="D27" s="15"/>
      <x:c r="E27" s="15"/>
      <x:c r="F27" s="15"/>
      <x:c r="G27" s="15"/>
      <x:c r="H27" s="15"/>
      <x:c r="I27" s="15"/>
      <x:c r="J27" s="15"/>
      <x:c r="K27" s="15"/>
      <x:c r="L27" s="15"/>
      <x:c r="M27" s="15"/>
      <x:c r="N27" s="15"/>
      <x:c r="O27" s="15"/>
      <x:c r="P27" s="15"/>
      <x:c r="Q27" s="15"/>
      <x:c r="R27" s="15"/>
      <x:c r="S27" s="15"/>
      <x:c r="T27" s="15"/>
    </x:row>
    <x:row r="28" ht="25" customHeight="1">
      <x:c r="A28" s="2"/>
      <x:c r="B28" s="2"/>
      <x:c r="C28" s="32" t="str">
        <x:v>Product and engineering payroll, EUR</x:v>
      </x:c>
      <x:c r="D28" s="52" t="n">
        <x:f>D18*'Inputs'!D155/4</x:f>
        <x:v>65000</x:v>
      </x:c>
      <x:c r="E28" s="52" t="n">
        <x:f>E18*'Inputs'!E155/4</x:f>
        <x:v>188296.875</x:v>
      </x:c>
      <x:c r="F28" s="52" t="n">
        <x:f>F18*'Inputs'!E155/4</x:f>
        <x:v>297090.625</x:v>
      </x:c>
      <x:c r="G28" s="52" t="n">
        <x:f>G18*'Inputs'!E155/4</x:f>
        <x:v>405884.375</x:v>
      </x:c>
      <x:c r="H28" s="52" t="n">
        <x:f>H18*'Inputs'!E155/4</x:f>
        <x:v>514678.125</x:v>
      </x:c>
      <x:c r="I28" s="52" t="n">
        <x:f>I18*'Inputs'!F155/4</x:f>
        <x:v>685275.09375</x:v>
      </x:c>
      <x:c r="J28" s="52" t="n">
        <x:f>J18*'Inputs'!F155/4</x:f>
        <x:v>883530.78125</x:v>
      </x:c>
      <x:c r="K28" s="52" t="n">
        <x:f>K18*'Inputs'!F155/4</x:f>
        <x:v>1081786.46875</x:v>
      </x:c>
      <x:c r="L28" s="52" t="n">
        <x:f>L18*'Inputs'!F155/4</x:f>
        <x:v>1280042.15625</x:v>
      </x:c>
      <x:c r="M28" s="52" t="n">
        <x:f>M18*'Inputs'!G155/4</x:f>
        <x:v>1620309.2546875002</x:v>
      </x:c>
      <x:c r="N28" s="52" t="n">
        <x:f>N18*'Inputs'!G155/4</x:f>
        <x:v>2019837.5640625001</x:v>
      </x:c>
      <x:c r="O28" s="52" t="n">
        <x:f>O18*'Inputs'!G155/4</x:f>
        <x:v>2419365.8734375</x:v>
      </x:c>
      <x:c r="P28" s="52" t="n">
        <x:f>P18*'Inputs'!G155/4</x:f>
        <x:v>2818894.1828125003</x:v>
      </x:c>
      <x:c r="Q28" s="52" t="n">
        <x:f>Q18*'Inputs'!H155/4</x:f>
        <x:v>3360698.962359375</x:v>
      </x:c>
      <x:c r="R28" s="52" t="n">
        <x:f>R18*'Inputs'!H155/4</x:f>
        <x:v>3863660.711828125</x:v>
      </x:c>
      <x:c r="S28" s="52" t="n">
        <x:f>S18*'Inputs'!H155/4</x:f>
        <x:v>4366622.461296875</x:v>
      </x:c>
      <x:c r="T28" s="52" t="n">
        <x:f>T18*'Inputs'!H155/4</x:f>
        <x:v>4869584.210765625</x:v>
      </x:c>
    </x:row>
    <x:row r="29" ht="25" customHeight="1">
      <x:c r="A29" s="2"/>
      <x:c r="B29" s="2"/>
      <x:c r="C29" s="32" t="str">
        <x:v>Sales and marketing payroll, EUR</x:v>
      </x:c>
      <x:c r="D29" s="52" t="n">
        <x:f>D19*'Inputs'!D157/4</x:f>
        <x:v>12500</x:v>
      </x:c>
      <x:c r="E29" s="52" t="n">
        <x:f>E19*'Inputs'!E157/4</x:f>
        <x:v>54718.75</x:v>
      </x:c>
      <x:c r="F29" s="52" t="n">
        <x:f>F19*'Inputs'!E157/4</x:f>
        <x:v>112656.25</x:v>
      </x:c>
      <x:c r="G29" s="52" t="n">
        <x:f>G19*'Inputs'!E157/4</x:f>
        <x:v>170593.75</x:v>
      </x:c>
      <x:c r="H29" s="52" t="n">
        <x:f>H19*'Inputs'!E157/4</x:f>
        <x:v>228531.25</x:v>
      </x:c>
      <x:c r="I29" s="52" t="n">
        <x:f>I19*'Inputs'!F157/4</x:f>
        <x:v>381260.9375</x:v>
      </x:c>
      <x:c r="J29" s="52" t="n">
        <x:f>J19*'Inputs'!F157/4</x:f>
        <x:v>613332.8125</x:v>
      </x:c>
      <x:c r="K29" s="52" t="n">
        <x:f>K19*'Inputs'!F157/4</x:f>
        <x:v>845404.6875</x:v>
      </x:c>
      <x:c r="L29" s="52" t="n">
        <x:f>L19*'Inputs'!F157/4</x:f>
        <x:v>1077476.5625</x:v>
      </x:c>
      <x:c r="M29" s="52" t="n">
        <x:f>M19*'Inputs'!G157/4</x:f>
        <x:v>1536647.34375</x:v>
      </x:c>
      <x:c r="N29" s="52" t="n">
        <x:f>N19*'Inputs'!G157/4</x:f>
        <x:v>2151306.28125</x:v>
      </x:c>
      <x:c r="O29" s="52" t="n">
        <x:f>O19*'Inputs'!G157/4</x:f>
        <x:v>2765965.21875</x:v>
      </x:c>
      <x:c r="P29" s="52" t="n">
        <x:f>P19*'Inputs'!G157/4</x:f>
        <x:v>3380624.15625</x:v>
      </x:c>
      <x:c r="Q29" s="52" t="n">
        <x:f>Q19*'Inputs'!H157/4</x:f>
        <x:v>4185485.8871875005</x:v>
      </x:c>
      <x:c r="R29" s="52" t="n">
        <x:f>R19*'Inputs'!H157/4</x:f>
        <x:v>4959273.1940625</x:v>
      </x:c>
      <x:c r="S29" s="52" t="n">
        <x:f>S19*'Inputs'!H157/4</x:f>
        <x:v>5733060.5009375</x:v>
      </x:c>
      <x:c r="T29" s="52" t="n">
        <x:f>T19*'Inputs'!H157/4</x:f>
        <x:v>6506847.807812501</x:v>
      </x:c>
    </x:row>
    <x:row r="30" ht="25" customHeight="1">
      <x:c r="A30" s="2"/>
      <x:c r="B30" s="2"/>
      <x:c r="C30" s="32" t="str">
        <x:v>Delivery and customer success payroll, EUR</x:v>
      </x:c>
      <x:c r="D30" s="52" t="n">
        <x:f>D20*'Inputs'!D159/4</x:f>
        <x:v>11250</x:v>
      </x:c>
      <x:c r="E30" s="52" t="n">
        <x:f>E20*'Inputs'!E159/4</x:f>
        <x:v>60834.375</x:v>
      </x:c>
      <x:c r="F30" s="52" t="n">
        <x:f>F20*'Inputs'!E159/4</x:f>
        <x:v>136153.125</x:v>
      </x:c>
      <x:c r="G30" s="52" t="n">
        <x:f>G20*'Inputs'!E159/4</x:f>
        <x:v>211471.875</x:v>
      </x:c>
      <x:c r="H30" s="52" t="n">
        <x:f>H20*'Inputs'!E159/4</x:f>
        <x:v>286790.625</x:v>
      </x:c>
      <x:c r="I30" s="52" t="n">
        <x:f>I20*'Inputs'!F159/4</x:f>
        <x:v>411761.8125</x:v>
      </x:c>
      <x:c r="J30" s="52" t="n">
        <x:f>J20*'Inputs'!F159/4</x:f>
        <x:v>566918.4375</x:v>
      </x:c>
      <x:c r="K30" s="52" t="n">
        <x:f>K20*'Inputs'!F159/4</x:f>
        <x:v>722075.0625</x:v>
      </x:c>
      <x:c r="L30" s="52" t="n">
        <x:f>L20*'Inputs'!F159/4</x:f>
        <x:v>877231.6875</x:v>
      </x:c>
      <x:c r="M30" s="52" t="n">
        <x:f>M20*'Inputs'!G159/4</x:f>
        <x:v>1167851.9812500002</x:v>
      </x:c>
      <x:c r="N30" s="52" t="n">
        <x:f>N20*'Inputs'!G159/4</x:f>
        <x:v>1536647.3437500002</x:v>
      </x:c>
      <x:c r="O30" s="52" t="n">
        <x:f>O20*'Inputs'!G159/4</x:f>
        <x:v>1905442.70625</x:v>
      </x:c>
      <x:c r="P30" s="52" t="n">
        <x:f>P20*'Inputs'!G159/4</x:f>
        <x:v>2274238.06875</x:v>
      </x:c>
      <x:c r="Q30" s="52" t="n">
        <x:f>Q20*'Inputs'!H159/4</x:f>
        <x:v>2848944.1753125004</x:v>
      </x:c>
      <x:c r="R30" s="52" t="n">
        <x:f>R20*'Inputs'!H159/4</x:f>
        <x:v>3482042.8809375004</x:v>
      </x:c>
      <x:c r="S30" s="52" t="n">
        <x:f>S20*'Inputs'!H159/4</x:f>
        <x:v>4115141.586562501</x:v>
      </x:c>
      <x:c r="T30" s="52" t="n">
        <x:f>T20*'Inputs'!H159/4</x:f>
        <x:v>4748240.292187501</x:v>
      </x:c>
    </x:row>
    <x:row r="31" ht="25" customHeight="1">
      <x:c r="A31" s="2"/>
      <x:c r="B31" s="2"/>
      <x:c r="C31" s="32" t="str">
        <x:v>Leadership and admin payroll, EUR</x:v>
      </x:c>
      <x:c r="D31" s="52" t="n">
        <x:f>D21*'Inputs'!D161/4</x:f>
        <x:v>40000</x:v>
      </x:c>
      <x:c r="E31" s="52" t="n">
        <x:f>E21*'Inputs'!E161/4</x:f>
        <x:v>97850</x:v>
      </x:c>
      <x:c r="F31" s="52" t="n">
        <x:f>F21*'Inputs'!E161/4</x:f>
        <x:v>128750</x:v>
      </x:c>
      <x:c r="G31" s="52" t="n">
        <x:f>G21*'Inputs'!E161/4</x:f>
        <x:v>159650</x:v>
      </x:c>
      <x:c r="H31" s="52" t="n">
        <x:f>H21*'Inputs'!E161/4</x:f>
        <x:v>190550</x:v>
      </x:c>
      <x:c r="I31" s="52" t="n">
        <x:f>I21*'Inputs'!F161/4</x:f>
        <x:v>265225</x:v>
      </x:c>
      <x:c r="J31" s="52" t="n">
        <x:f>J21*'Inputs'!F161/4</x:f>
        <x:v>371315</x:v>
      </x:c>
      <x:c r="K31" s="52" t="n">
        <x:f>K21*'Inputs'!F161/4</x:f>
        <x:v>477405</x:v>
      </x:c>
      <x:c r="L31" s="52" t="n">
        <x:f>L21*'Inputs'!F161/4</x:f>
        <x:v>583495</x:v>
      </x:c>
      <x:c r="M31" s="52" t="n">
        <x:f>M21*'Inputs'!G161/4</x:f>
        <x:v>737590.725</x:v>
      </x:c>
      <x:c r="N31" s="52" t="n">
        <x:f>N21*'Inputs'!G161/4</x:f>
        <x:v>901499.775</x:v>
      </x:c>
      <x:c r="O31" s="52" t="n">
        <x:f>O21*'Inputs'!G161/4</x:f>
        <x:v>1065408.825</x:v>
      </x:c>
      <x:c r="P31" s="52" t="n">
        <x:f>P21*'Inputs'!G161/4</x:f>
        <x:v>1229317.875</x:v>
      </x:c>
      <x:c r="Q31" s="52" t="n">
        <x:f>Q21*'Inputs'!H161/4</x:f>
        <x:v>1463161.4530000002</x:v>
      </x:c>
      <x:c r="R31" s="52" t="n">
        <x:f>R21*'Inputs'!H161/4</x:f>
        <x:v>1688263.215</x:v>
      </x:c>
      <x:c r="S31" s="52" t="n">
        <x:f>S21*'Inputs'!H161/4</x:f>
        <x:v>1913364.9770000002</x:v>
      </x:c>
      <x:c r="T31" s="52" t="n">
        <x:f>T21*'Inputs'!H161/4</x:f>
        <x:v>2138466.739</x:v>
      </x:c>
    </x:row>
    <x:row r="32" ht="25" customHeight="1">
      <x:c r="A32" s="2"/>
      <x:c r="B32" s="2"/>
      <x:c r="C32" s="60" t="str">
        <x:v>Total loaded payroll</x:v>
      </x:c>
      <x:c r="D32" s="40" t="n">
        <x:f>SUM(D28:D31)</x:f>
        <x:v>128750</x:v>
      </x:c>
      <x:c r="E32" s="40" t="n">
        <x:f>SUM(E28:E31)</x:f>
        <x:v>401700</x:v>
      </x:c>
      <x:c r="F32" s="40" t="n">
        <x:f>SUM(F28:F31)</x:f>
        <x:v>674650</x:v>
      </x:c>
      <x:c r="G32" s="40" t="n">
        <x:f>SUM(G28:G31)</x:f>
        <x:v>947600</x:v>
      </x:c>
      <x:c r="H32" s="40" t="n">
        <x:f>SUM(H28:H31)</x:f>
        <x:v>1220550</x:v>
      </x:c>
      <x:c r="I32" s="40" t="n">
        <x:f>SUM(I28:I31)</x:f>
        <x:v>1743522.84375</x:v>
      </x:c>
      <x:c r="J32" s="40" t="n">
        <x:f>SUM(J28:J31)</x:f>
        <x:v>2435097.03125</x:v>
      </x:c>
      <x:c r="K32" s="40" t="n">
        <x:f>SUM(K28:K31)</x:f>
        <x:v>3126671.21875</x:v>
      </x:c>
      <x:c r="L32" s="40" t="n">
        <x:f>SUM(L28:L31)</x:f>
        <x:v>3818245.40625</x:v>
      </x:c>
      <x:c r="M32" s="40" t="n">
        <x:f>SUM(M28:M31)</x:f>
        <x:v>5062399.3046875</x:v>
      </x:c>
      <x:c r="N32" s="40" t="n">
        <x:f>SUM(N28:N31)</x:f>
        <x:v>6609290.964062501</x:v>
      </x:c>
      <x:c r="O32" s="40" t="n">
        <x:f>SUM(O28:O31)</x:f>
        <x:v>8156182.6234375</x:v>
      </x:c>
      <x:c r="P32" s="40" t="n">
        <x:f>SUM(P28:P31)</x:f>
        <x:v>9703074.2828125</x:v>
      </x:c>
      <x:c r="Q32" s="40" t="n">
        <x:f>SUM(Q28:Q31)</x:f>
        <x:v>11858290.477859376</x:v>
      </x:c>
      <x:c r="R32" s="40" t="n">
        <x:f>SUM(R28:R31)</x:f>
        <x:v>13993240.001828125</x:v>
      </x:c>
      <x:c r="S32" s="40" t="n">
        <x:f>SUM(S28:S31)</x:f>
        <x:v>16128189.525796875</x:v>
      </x:c>
      <x:c r="T32" s="40" t="n">
        <x:f>SUM(T28:T31)</x:f>
        <x:v>18263139.049765628</x:v>
      </x:c>
    </x:row>
    <x:row r="33" ht="25" customHeight="1">
      <x:c r="A33" s="2"/>
      <x:c r="B33" s="2"/>
      <x:c r="C33" s="32"/>
      <x:c r="D33" s="3"/>
      <x:c r="E33" s="3"/>
      <x:c r="F33" s="3"/>
      <x:c r="G33" s="3"/>
      <x:c r="H33" s="3"/>
      <x:c r="I33" s="3"/>
      <x:c r="J33" s="3"/>
      <x:c r="K33" s="3"/>
      <x:c r="L33" s="3"/>
      <x:c r="M33" s="3"/>
      <x:c r="N33" s="3"/>
      <x:c r="O33" s="3"/>
      <x:c r="P33" s="3"/>
      <x:c r="Q33" s="3"/>
      <x:c r="R33" s="3"/>
      <x:c r="S33" s="3"/>
      <x:c r="T33" s="3"/>
    </x:row>
    <x:row r="34" ht="27" customHeight="1">
      <x:c r="A34" s="2"/>
      <x:c r="B34" s="2"/>
      <x:c r="C34" s="61" t="str">
        <x:v>Implementation and support capacity</x:v>
      </x:c>
      <x:c r="D34" s="15"/>
      <x:c r="E34" s="15"/>
      <x:c r="F34" s="15"/>
      <x:c r="G34" s="15"/>
      <x:c r="H34" s="15"/>
      <x:c r="I34" s="15"/>
      <x:c r="J34" s="15"/>
      <x:c r="K34" s="15"/>
      <x:c r="L34" s="15"/>
      <x:c r="M34" s="15"/>
      <x:c r="N34" s="15"/>
      <x:c r="O34" s="15"/>
      <x:c r="P34" s="15"/>
      <x:c r="Q34" s="15"/>
      <x:c r="R34" s="15"/>
      <x:c r="S34" s="15"/>
      <x:c r="T34" s="15"/>
    </x:row>
    <x:row r="35" ht="25" customHeight="1">
      <x:c r="A35" s="2"/>
      <x:c r="B35" s="2"/>
      <x:c r="C35" s="32" t="str">
        <x:v>Delivery hours available</x:v>
      </x:c>
      <x:c r="D35" s="52" t="n">
        <x:f>D24*'Inputs'!D153</x:f>
        <x:v>160</x:v>
      </x:c>
      <x:c r="E35" s="52" t="n">
        <x:f>E24*'Inputs'!E153</x:f>
        <x:v>840</x:v>
      </x:c>
      <x:c r="F35" s="52" t="n">
        <x:f>F24*'Inputs'!E153</x:f>
        <x:v>1880</x:v>
      </x:c>
      <x:c r="G35" s="52" t="n">
        <x:f>G24*'Inputs'!E153</x:f>
        <x:v>2920</x:v>
      </x:c>
      <x:c r="H35" s="52" t="n">
        <x:f>H24*'Inputs'!E153</x:f>
        <x:v>3960</x:v>
      </x:c>
      <x:c r="I35" s="52" t="n">
        <x:f>I24*'Inputs'!F153</x:f>
        <x:v>5520</x:v>
      </x:c>
      <x:c r="J35" s="52" t="n">
        <x:f>J24*'Inputs'!F153</x:f>
        <x:v>7600</x:v>
      </x:c>
      <x:c r="K35" s="52" t="n">
        <x:f>K24*'Inputs'!F153</x:f>
        <x:v>9680</x:v>
      </x:c>
      <x:c r="L35" s="52" t="n">
        <x:f>L24*'Inputs'!F153</x:f>
        <x:v>11760</x:v>
      </x:c>
      <x:c r="M35" s="52" t="n">
        <x:f>M24*'Inputs'!G153</x:f>
        <x:v>15200</x:v>
      </x:c>
      <x:c r="N35" s="52" t="n">
        <x:f>N24*'Inputs'!G153</x:f>
        <x:v>20000</x:v>
      </x:c>
      <x:c r="O35" s="52" t="n">
        <x:f>O24*'Inputs'!G153</x:f>
        <x:v>24800</x:v>
      </x:c>
      <x:c r="P35" s="52" t="n">
        <x:f>P24*'Inputs'!G153</x:f>
        <x:v>29600</x:v>
      </x:c>
      <x:c r="Q35" s="52" t="n">
        <x:f>Q24*'Inputs'!H153</x:f>
        <x:v>36000</x:v>
      </x:c>
      <x:c r="R35" s="52" t="n">
        <x:f>R24*'Inputs'!H153</x:f>
        <x:v>44000</x:v>
      </x:c>
      <x:c r="S35" s="52" t="n">
        <x:f>S24*'Inputs'!H153</x:f>
        <x:v>52000</x:v>
      </x:c>
      <x:c r="T35" s="52" t="n">
        <x:f>T24*'Inputs'!H153</x:f>
        <x:v>60000</x:v>
      </x:c>
    </x:row>
    <x:row r="36" ht="25" customHeight="1">
      <x:c r="A36" s="2"/>
      <x:c r="B36" s="2"/>
      <x:c r="C36" s="32" t="str">
        <x:v>Support hours required</x:v>
      </x:c>
      <x:c r="D36" s="3" t="n">
        <x:f>0</x:f>
        <x:v>0</x:v>
      </x:c>
      <x:c r="E36" s="52" t="n">
        <x:f>'Sales'!E23*'Inputs'!E79</x:f>
        <x:v>0</x:v>
      </x:c>
      <x:c r="F36" s="52" t="n">
        <x:f>'Sales'!F23*'Inputs'!E79</x:f>
        <x:v>20</x:v>
      </x:c>
      <x:c r="G36" s="52" t="n">
        <x:f>'Sales'!G23*'Inputs'!E79</x:f>
        <x:v>56.25</x:v>
      </x:c>
      <x:c r="H36" s="52" t="n">
        <x:f>'Sales'!H23*'Inputs'!E79</x:f>
        <x:v>87.5</x:v>
      </x:c>
      <x:c r="I36" s="52" t="n">
        <x:f>'Sales'!I23*'Inputs'!F79</x:f>
        <x:v>100</x:v>
      </x:c>
      <x:c r="J36" s="52" t="n">
        <x:f>'Sales'!J23*'Inputs'!F79</x:f>
        <x:v>140.425</x:v>
      </x:c>
      <x:c r="K36" s="52" t="n">
        <x:f>'Sales'!K23*'Inputs'!F79</x:f>
        <x:v>199.90750000000003</x:v>
      </x:c>
      <x:c r="L36" s="52" t="n">
        <x:f>'Sales'!L23*'Inputs'!F79</x:f>
        <x:v>274.07000000000005</x:v>
      </x:c>
      <x:c r="M36" s="52" t="n">
        <x:f>'Sales'!M23*'Inputs'!G79</x:f>
        <x:v>291.00000000000006</x:v>
      </x:c>
      <x:c r="N36" s="52" t="n">
        <x:f>'Sales'!N23*'Inputs'!G79</x:f>
        <x:v>425.2957500000001</x:v>
      </x:c>
      <x:c r="O36" s="52" t="n">
        <x:f>'Sales'!O23*'Inputs'!G79</x:f>
        <x:v>648.6768000000002</x:v>
      </x:c>
      <x:c r="P36" s="52" t="n">
        <x:f>'Sales'!P23*'Inputs'!G79</x:f>
        <x:v>920.6770500000002</x:v>
      </x:c>
      <x:c r="Q36" s="52" t="n">
        <x:f>'Sales'!Q23*'Inputs'!H79</x:f>
        <x:v>863.0875000000002</x:v>
      </x:c>
      <x:c r="R36" s="52" t="n">
        <x:f>'Sales'!R23*'Inputs'!H79</x:f>
        <x:v>1187.4080600000002</x:v>
      </x:c>
      <x:c r="S36" s="52" t="n">
        <x:f>'Sales'!S23*'Inputs'!H79</x:f>
        <x:v>1646.7526040000002</x:v>
      </x:c>
      <x:c r="T36" s="52" t="n">
        <x:f>'Sales'!T23*'Inputs'!H79</x:f>
        <x:v>2162.211549</x:v>
      </x:c>
    </x:row>
    <x:row r="37" ht="25" customHeight="1">
      <x:c r="A37" s="2"/>
      <x:c r="B37" s="2"/>
      <x:c r="C37" s="32" t="str">
        <x:v>Internal hours available for onboarding</x:v>
      </x:c>
      <x:c r="D37" s="3" t="n">
        <x:f>MAX(0,D35-D36)</x:f>
        <x:v>160</x:v>
      </x:c>
      <x:c r="E37" s="3" t="n">
        <x:f>MAX(0,E35-E36)</x:f>
        <x:v>840</x:v>
      </x:c>
      <x:c r="F37" s="3" t="n">
        <x:f>MAX(0,F35-F36)</x:f>
        <x:v>1860</x:v>
      </x:c>
      <x:c r="G37" s="3" t="n">
        <x:f>MAX(0,G35-G36)</x:f>
        <x:v>2863.75</x:v>
      </x:c>
      <x:c r="H37" s="3" t="n">
        <x:f>MAX(0,H35-H36)</x:f>
        <x:v>3872.5</x:v>
      </x:c>
      <x:c r="I37" s="3" t="n">
        <x:f>MAX(0,I35-I36)</x:f>
        <x:v>5420</x:v>
      </x:c>
      <x:c r="J37" s="3" t="n">
        <x:f>MAX(0,J35-J36)</x:f>
        <x:v>7459.575</x:v>
      </x:c>
      <x:c r="K37" s="3" t="n">
        <x:f>MAX(0,K35-K36)</x:f>
        <x:v>9480.0925</x:v>
      </x:c>
      <x:c r="L37" s="3" t="n">
        <x:f>MAX(0,L35-L36)</x:f>
        <x:v>11485.93</x:v>
      </x:c>
      <x:c r="M37" s="3" t="n">
        <x:f>MAX(0,M35-M36)</x:f>
        <x:v>14909</x:v>
      </x:c>
      <x:c r="N37" s="3" t="n">
        <x:f>MAX(0,N35-N36)</x:f>
        <x:v>19574.70425</x:v>
      </x:c>
      <x:c r="O37" s="3" t="n">
        <x:f>MAX(0,O35-O36)</x:f>
        <x:v>24151.3232</x:v>
      </x:c>
      <x:c r="P37" s="3" t="n">
        <x:f>MAX(0,P35-P36)</x:f>
        <x:v>28679.32295</x:v>
      </x:c>
      <x:c r="Q37" s="3" t="n">
        <x:f>MAX(0,Q35-Q36)</x:f>
        <x:v>35136.9125</x:v>
      </x:c>
      <x:c r="R37" s="3" t="n">
        <x:f>MAX(0,R35-R36)</x:f>
        <x:v>42812.59194</x:v>
      </x:c>
      <x:c r="S37" s="3" t="n">
        <x:f>MAX(0,S35-S36)</x:f>
        <x:v>50353.247396</x:v>
      </x:c>
      <x:c r="T37" s="3" t="n">
        <x:f>MAX(0,T35-T36)</x:f>
        <x:v>57837.788451</x:v>
      </x:c>
    </x:row>
    <x:row r="38" ht="25" customHeight="1">
      <x:c r="A38" s="2"/>
      <x:c r="B38" s="2"/>
      <x:c r="C38" s="32" t="str">
        <x:v>Onboarding hours per new customer</x:v>
      </x:c>
      <x:c r="D38" s="52" t="n">
        <x:f>'Inputs'!D81+'Pricing'!D34*'Inputs'!D83</x:f>
        <x:v>145</x:v>
      </x:c>
      <x:c r="E38" s="52" t="n">
        <x:f>'Inputs'!E81+'Pricing'!E34*'Inputs'!E83</x:f>
        <x:v>146.3</x:v>
      </x:c>
      <x:c r="F38" s="52" t="n">
        <x:f>'Inputs'!E81+'Pricing'!E34*'Inputs'!E83</x:f>
        <x:v>146.3</x:v>
      </x:c>
      <x:c r="G38" s="52" t="n">
        <x:f>'Inputs'!E81+'Pricing'!E34*'Inputs'!E83</x:f>
        <x:v>146.3</x:v>
      </x:c>
      <x:c r="H38" s="52" t="n">
        <x:f>'Inputs'!E81+'Pricing'!E34*'Inputs'!E83</x:f>
        <x:v>146.3</x:v>
      </x:c>
      <x:c r="I38" s="52" t="n">
        <x:f>'Inputs'!F81+'Pricing'!F34*'Inputs'!F83</x:f>
        <x:v>142.65</x:v>
      </x:c>
      <x:c r="J38" s="52" t="n">
        <x:f>'Inputs'!F81+'Pricing'!F34*'Inputs'!F83</x:f>
        <x:v>142.65</x:v>
      </x:c>
      <x:c r="K38" s="52" t="n">
        <x:f>'Inputs'!F81+'Pricing'!F34*'Inputs'!F83</x:f>
        <x:v>142.65</x:v>
      </x:c>
      <x:c r="L38" s="52" t="n">
        <x:f>'Inputs'!F81+'Pricing'!F34*'Inputs'!F83</x:f>
        <x:v>142.65</x:v>
      </x:c>
      <x:c r="M38" s="52" t="n">
        <x:f>'Inputs'!G81+'Pricing'!G34*'Inputs'!G83</x:f>
        <x:v>109</x:v>
      </x:c>
      <x:c r="N38" s="52" t="n">
        <x:f>'Inputs'!G81+'Pricing'!G34*'Inputs'!G83</x:f>
        <x:v>109</x:v>
      </x:c>
      <x:c r="O38" s="52" t="n">
        <x:f>'Inputs'!G81+'Pricing'!G34*'Inputs'!G83</x:f>
        <x:v>109</x:v>
      </x:c>
      <x:c r="P38" s="52" t="n">
        <x:f>'Inputs'!G81+'Pricing'!G34*'Inputs'!G83</x:f>
        <x:v>109</x:v>
      </x:c>
      <x:c r="Q38" s="52" t="n">
        <x:f>'Inputs'!H81+'Pricing'!H34*'Inputs'!H83</x:f>
        <x:v>84</x:v>
      </x:c>
      <x:c r="R38" s="52" t="n">
        <x:f>'Inputs'!H81+'Pricing'!H34*'Inputs'!H83</x:f>
        <x:v>84</x:v>
      </x:c>
      <x:c r="S38" s="52" t="n">
        <x:f>'Inputs'!H81+'Pricing'!H34*'Inputs'!H83</x:f>
        <x:v>84</x:v>
      </x:c>
      <x:c r="T38" s="52" t="n">
        <x:f>'Inputs'!H81+'Pricing'!H34*'Inputs'!H83</x:f>
        <x:v>84</x:v>
      </x:c>
    </x:row>
    <x:row r="39" ht="25" customHeight="1">
      <x:c r="A39" s="2"/>
      <x:c r="B39" s="2"/>
      <x:c r="C39" s="32" t="str">
        <x:v>Internal activation slots</x:v>
      </x:c>
      <x:c r="D39" s="3" t="n">
        <x:f>IF(D38=0,0,D37/D38)</x:f>
        <x:v>1.103448275862069</x:v>
      </x:c>
      <x:c r="E39" s="3" t="n">
        <x:f>IF(E38=0,0,E37/E38)</x:f>
        <x:v>5.741626794258373</x:v>
      </x:c>
      <x:c r="F39" s="3" t="n">
        <x:f>IF(F38=0,0,F37/F38)</x:f>
        <x:v>12.713602187286396</x:v>
      </x:c>
      <x:c r="G39" s="3" t="n">
        <x:f>IF(G38=0,0,G37/G38)</x:f>
        <x:v>19.574504442925495</x:v>
      </x:c>
      <x:c r="H39" s="3" t="n">
        <x:f>IF(H38=0,0,H37/H38)</x:f>
        <x:v>26.469583048530414</x:v>
      </x:c>
      <x:c r="I39" s="3" t="n">
        <x:f>IF(I38=0,0,I37/I38)</x:f>
        <x:v>37.99509288468279</x:v>
      </x:c>
      <x:c r="J39" s="3" t="n">
        <x:f>IF(J38=0,0,J37/J38)</x:f>
        <x:v>52.29284963196635</x:v>
      </x:c>
      <x:c r="K39" s="3" t="n">
        <x:f>IF(K38=0,0,K37/K38)</x:f>
        <x:v>66.45701016473888</x:v>
      </x:c>
      <x:c r="L39" s="3" t="n">
        <x:f>IF(L38=0,0,L37/L38)</x:f>
        <x:v>80.51826147914475</x:v>
      </x:c>
      <x:c r="M39" s="3" t="n">
        <x:f>IF(M38=0,0,M37/M38)</x:f>
        <x:v>136.77981651376146</x:v>
      </x:c>
      <x:c r="N39" s="3" t="n">
        <x:f>IF(N38=0,0,N37/N38)</x:f>
        <x:v>179.58444266055045</x:v>
      </x:c>
      <x:c r="O39" s="3" t="n">
        <x:f>IF(O38=0,0,O37/O38)</x:f>
        <x:v>221.5717724770642</x:v>
      </x:c>
      <x:c r="P39" s="3" t="n">
        <x:f>IF(P38=0,0,P37/P38)</x:f>
        <x:v>263.113054587156</x:v>
      </x:c>
      <x:c r="Q39" s="3" t="n">
        <x:f>IF(Q38=0,0,Q37/Q38)</x:f>
        <x:v>418.2965773809524</x:v>
      </x:c>
      <x:c r="R39" s="3" t="n">
        <x:f>IF(R38=0,0,R37/R38)</x:f>
        <x:v>509.67371357142855</x:v>
      </x:c>
      <x:c r="S39" s="3" t="n">
        <x:f>IF(S38=0,0,S37/S38)</x:f>
        <x:v>599.4434213809524</x:v>
      </x:c>
      <x:c r="T39" s="3" t="n">
        <x:f>IF(T38=0,0,T37/T38)</x:f>
        <x:v>688.5451006071429</x:v>
      </x:c>
    </x:row>
    <x:row r="40" ht="25" customHeight="1">
      <x:c r="A40" s="2"/>
      <x:c r="B40" s="2"/>
      <x:c r="C40" s="32" t="str">
        <x:v>External activation slots</x:v>
      </x:c>
      <x:c r="D40" s="52" t="n">
        <x:f>'Inputs'!D74</x:f>
        <x:v>0</x:v>
      </x:c>
      <x:c r="E40" s="52" t="n">
        <x:f>'Inputs'!E74</x:f>
        <x:v>5</x:v>
      </x:c>
      <x:c r="F40" s="52" t="n">
        <x:f>'Inputs'!E74</x:f>
        <x:v>5</x:v>
      </x:c>
      <x:c r="G40" s="52" t="n">
        <x:f>'Inputs'!E74</x:f>
        <x:v>5</x:v>
      </x:c>
      <x:c r="H40" s="52" t="n">
        <x:f>'Inputs'!E74</x:f>
        <x:v>5</x:v>
      </x:c>
      <x:c r="I40" s="52" t="n">
        <x:f>'Inputs'!F74</x:f>
        <x:v>12</x:v>
      </x:c>
      <x:c r="J40" s="52" t="n">
        <x:f>'Inputs'!F74</x:f>
        <x:v>12</x:v>
      </x:c>
      <x:c r="K40" s="52" t="n">
        <x:f>'Inputs'!F74</x:f>
        <x:v>12</x:v>
      </x:c>
      <x:c r="L40" s="52" t="n">
        <x:f>'Inputs'!F74</x:f>
        <x:v>12</x:v>
      </x:c>
      <x:c r="M40" s="52" t="n">
        <x:f>'Inputs'!G74</x:f>
        <x:v>40</x:v>
      </x:c>
      <x:c r="N40" s="52" t="n">
        <x:f>'Inputs'!G74</x:f>
        <x:v>40</x:v>
      </x:c>
      <x:c r="O40" s="52" t="n">
        <x:f>'Inputs'!G74</x:f>
        <x:v>40</x:v>
      </x:c>
      <x:c r="P40" s="52" t="n">
        <x:f>'Inputs'!G74</x:f>
        <x:v>40</x:v>
      </x:c>
      <x:c r="Q40" s="52" t="n">
        <x:f>'Inputs'!H74</x:f>
        <x:v>80</x:v>
      </x:c>
      <x:c r="R40" s="52" t="n">
        <x:f>'Inputs'!H74</x:f>
        <x:v>80</x:v>
      </x:c>
      <x:c r="S40" s="52" t="n">
        <x:f>'Inputs'!H74</x:f>
        <x:v>80</x:v>
      </x:c>
      <x:c r="T40" s="52" t="n">
        <x:f>'Inputs'!H74</x:f>
        <x:v>80</x:v>
      </x:c>
    </x:row>
    <x:row r="41" ht="25" customHeight="1">
      <x:c r="A41" s="2"/>
      <x:c r="B41" s="2"/>
      <x:c r="C41" s="32" t="str">
        <x:v>Support overflow hours</x:v>
      </x:c>
      <x:c r="D41" s="3" t="n">
        <x:f>MAX(0,D36-D35)</x:f>
        <x:v>0</x:v>
      </x:c>
      <x:c r="E41" s="3" t="n">
        <x:f>MAX(0,E36-E35)</x:f>
        <x:v>0</x:v>
      </x:c>
      <x:c r="F41" s="3" t="n">
        <x:f>MAX(0,F36-F35)</x:f>
        <x:v>0</x:v>
      </x:c>
      <x:c r="G41" s="3" t="n">
        <x:f>MAX(0,G36-G35)</x:f>
        <x:v>0</x:v>
      </x:c>
      <x:c r="H41" s="3" t="n">
        <x:f>MAX(0,H36-H35)</x:f>
        <x:v>0</x:v>
      </x:c>
      <x:c r="I41" s="3" t="n">
        <x:f>MAX(0,I36-I35)</x:f>
        <x:v>0</x:v>
      </x:c>
      <x:c r="J41" s="3" t="n">
        <x:f>MAX(0,J36-J35)</x:f>
        <x:v>0</x:v>
      </x:c>
      <x:c r="K41" s="3" t="n">
        <x:f>MAX(0,K36-K35)</x:f>
        <x:v>0</x:v>
      </x:c>
      <x:c r="L41" s="3" t="n">
        <x:f>MAX(0,L36-L35)</x:f>
        <x:v>0</x:v>
      </x:c>
      <x:c r="M41" s="3" t="n">
        <x:f>MAX(0,M36-M35)</x:f>
        <x:v>0</x:v>
      </x:c>
      <x:c r="N41" s="3" t="n">
        <x:f>MAX(0,N36-N35)</x:f>
        <x:v>0</x:v>
      </x:c>
      <x:c r="O41" s="3" t="n">
        <x:f>MAX(0,O36-O35)</x:f>
        <x:v>0</x:v>
      </x:c>
      <x:c r="P41" s="3" t="n">
        <x:f>MAX(0,P36-P35)</x:f>
        <x:v>0</x:v>
      </x:c>
      <x:c r="Q41" s="3" t="n">
        <x:f>MAX(0,Q36-Q35)</x:f>
        <x:v>0</x:v>
      </x:c>
      <x:c r="R41" s="3" t="n">
        <x:f>MAX(0,R36-R35)</x:f>
        <x:v>0</x:v>
      </x:c>
      <x:c r="S41" s="3" t="n">
        <x:f>MAX(0,S36-S35)</x:f>
        <x:v>0</x:v>
      </x:c>
      <x:c r="T41" s="3" t="n">
        <x:f>MAX(0,T36-T35)</x:f>
        <x:v>0</x:v>
      </x:c>
    </x:row>
    <x:row r="42" ht="25" customHeight="1">
      <x:c r="A42" s="2"/>
      <x:c r="B42" s="2"/>
      <x:c r="C42" s="32" t="str">
        <x:v>External support overflow cost</x:v>
      </x:c>
      <x:c r="D42" s="52" t="n">
        <x:f>D41*'Inputs'!D151</x:f>
        <x:v>0</x:v>
      </x:c>
      <x:c r="E42" s="52" t="n">
        <x:f>E41*'Inputs'!E151</x:f>
        <x:v>0</x:v>
      </x:c>
      <x:c r="F42" s="52" t="n">
        <x:f>F41*'Inputs'!E151</x:f>
        <x:v>0</x:v>
      </x:c>
      <x:c r="G42" s="52" t="n">
        <x:f>G41*'Inputs'!E151</x:f>
        <x:v>0</x:v>
      </x:c>
      <x:c r="H42" s="52" t="n">
        <x:f>H41*'Inputs'!E151</x:f>
        <x:v>0</x:v>
      </x:c>
      <x:c r="I42" s="52" t="n">
        <x:f>I41*'Inputs'!F151</x:f>
        <x:v>0</x:v>
      </x:c>
      <x:c r="J42" s="52" t="n">
        <x:f>J41*'Inputs'!F151</x:f>
        <x:v>0</x:v>
      </x:c>
      <x:c r="K42" s="52" t="n">
        <x:f>K41*'Inputs'!F151</x:f>
        <x:v>0</x:v>
      </x:c>
      <x:c r="L42" s="52" t="n">
        <x:f>L41*'Inputs'!F151</x:f>
        <x:v>0</x:v>
      </x:c>
      <x:c r="M42" s="52" t="n">
        <x:f>M41*'Inputs'!G151</x:f>
        <x:v>0</x:v>
      </x:c>
      <x:c r="N42" s="52" t="n">
        <x:f>N41*'Inputs'!G151</x:f>
        <x:v>0</x:v>
      </x:c>
      <x:c r="O42" s="52" t="n">
        <x:f>O41*'Inputs'!G151</x:f>
        <x:v>0</x:v>
      </x:c>
      <x:c r="P42" s="52" t="n">
        <x:f>P41*'Inputs'!G151</x:f>
        <x:v>0</x:v>
      </x:c>
      <x:c r="Q42" s="52" t="n">
        <x:f>Q41*'Inputs'!H151</x:f>
        <x:v>0</x:v>
      </x:c>
      <x:c r="R42" s="52" t="n">
        <x:f>R41*'Inputs'!H151</x:f>
        <x:v>0</x:v>
      </x:c>
      <x:c r="S42" s="52" t="n">
        <x:f>S41*'Inputs'!H151</x:f>
        <x:v>0</x:v>
      </x:c>
      <x:c r="T42" s="52" t="n">
        <x:f>T41*'Inputs'!H151</x:f>
        <x:v>0</x:v>
      </x:c>
    </x:row>
    <x:row r="43" ht="25" customHeight="1">
      <x:c r="A43" s="2"/>
      <x:c r="B43" s="2"/>
      <x:c r="C43" s="32"/>
      <x:c r="D43" s="3"/>
      <x:c r="E43" s="3"/>
      <x:c r="F43" s="3"/>
      <x:c r="G43" s="3"/>
      <x:c r="H43" s="3"/>
      <x:c r="I43" s="3"/>
      <x:c r="J43" s="3"/>
      <x:c r="K43" s="3"/>
      <x:c r="L43" s="3"/>
      <x:c r="M43" s="3"/>
      <x:c r="N43" s="3"/>
      <x:c r="O43" s="3"/>
      <x:c r="P43" s="3"/>
      <x:c r="Q43" s="3"/>
      <x:c r="R43" s="3"/>
      <x:c r="S43" s="3"/>
      <x:c r="T43" s="3"/>
    </x:row>
    <x:row r="44" ht="25" customHeight="1">
      <x:c r="A44" s="2"/>
      <x:c r="B44" s="2"/>
      <x:c r="C44" s="32"/>
      <x:c r="D44" s="3"/>
      <x:c r="E44" s="3"/>
      <x:c r="F44" s="3"/>
      <x:c r="G44" s="3"/>
      <x:c r="H44" s="3"/>
      <x:c r="I44" s="3"/>
      <x:c r="J44" s="3"/>
      <x:c r="K44" s="3"/>
      <x:c r="L44" s="3"/>
      <x:c r="M44" s="3"/>
      <x:c r="N44" s="3"/>
      <x:c r="O44" s="3"/>
      <x:c r="P44" s="3"/>
      <x:c r="Q44" s="3"/>
      <x:c r="R44" s="3"/>
      <x:c r="S44" s="3"/>
      <x:c r="T44" s="3"/>
    </x:row>
    <x:row r="45" ht="25" customHeight="1">
      <x:c r="A45" s="2"/>
      <x:c r="B45" s="2"/>
      <x:c r="C45" s="32"/>
      <x:c r="D45" s="3"/>
      <x:c r="E45" s="3"/>
      <x:c r="F45" s="3"/>
      <x:c r="G45" s="3"/>
      <x:c r="H45" s="3"/>
      <x:c r="I45" s="3"/>
      <x:c r="J45" s="3"/>
      <x:c r="K45" s="3"/>
      <x:c r="L45" s="3"/>
      <x:c r="M45" s="3"/>
      <x:c r="N45" s="3"/>
      <x:c r="O45" s="3"/>
      <x:c r="P45" s="3"/>
      <x:c r="Q45" s="3"/>
      <x:c r="R45" s="3"/>
      <x:c r="S45" s="3"/>
      <x:c r="T45" s="3"/>
    </x:row>
    <x:row r="46" ht="25" customHeight="1">
      <x:c r="A46" s="2"/>
      <x:c r="B46" s="2"/>
      <x:c r="C46" s="32"/>
      <x:c r="D46" s="3"/>
      <x:c r="E46" s="3"/>
      <x:c r="F46" s="3"/>
      <x:c r="G46" s="3"/>
      <x:c r="H46" s="3"/>
      <x:c r="I46" s="3"/>
      <x:c r="J46" s="3"/>
      <x:c r="K46" s="3"/>
      <x:c r="L46" s="3"/>
      <x:c r="M46" s="3"/>
      <x:c r="N46" s="3"/>
      <x:c r="O46" s="3"/>
      <x:c r="P46" s="3"/>
      <x:c r="Q46" s="3"/>
      <x:c r="R46" s="3"/>
      <x:c r="S46" s="3"/>
      <x:c r="T46" s="3"/>
    </x:row>
    <x:row r="47" ht="25" customHeight="1">
      <x:c r="A47" s="2"/>
      <x:c r="B47" s="2"/>
      <x:c r="C47" s="32"/>
      <x:c r="D47" s="3"/>
      <x:c r="E47" s="3"/>
      <x:c r="F47" s="3"/>
      <x:c r="G47" s="3"/>
      <x:c r="H47" s="3"/>
      <x:c r="I47" s="3"/>
      <x:c r="J47" s="3"/>
      <x:c r="K47" s="3"/>
      <x:c r="L47" s="3"/>
      <x:c r="M47" s="3"/>
      <x:c r="N47" s="3"/>
      <x:c r="O47" s="3"/>
      <x:c r="P47" s="3"/>
      <x:c r="Q47" s="3"/>
      <x:c r="R47" s="3"/>
      <x:c r="S47" s="3"/>
      <x:c r="T47" s="3"/>
    </x:row>
    <x:row r="48" ht="25" customHeight="1">
      <x:c r="A48" s="2"/>
      <x:c r="B48" s="2"/>
      <x:c r="C48" s="32"/>
      <x:c r="D48" s="3"/>
      <x:c r="E48" s="3"/>
      <x:c r="F48" s="3"/>
      <x:c r="G48" s="3"/>
      <x:c r="H48" s="3"/>
      <x:c r="I48" s="3"/>
      <x:c r="J48" s="3"/>
      <x:c r="K48" s="3"/>
      <x:c r="L48" s="3"/>
      <x:c r="M48" s="3"/>
      <x:c r="N48" s="3"/>
      <x:c r="O48" s="3"/>
      <x:c r="P48" s="3"/>
      <x:c r="Q48" s="3"/>
      <x:c r="R48" s="3"/>
      <x:c r="S48" s="3"/>
      <x:c r="T48" s="3"/>
    </x:row>
    <x:row r="49" ht="25" customHeight="1">
      <x:c r="A49" s="2"/>
      <x:c r="B49" s="2"/>
      <x:c r="C49" s="32"/>
      <x:c r="D49" s="3"/>
      <x:c r="E49" s="3"/>
      <x:c r="F49" s="3"/>
      <x:c r="G49" s="3"/>
      <x:c r="H49" s="3"/>
      <x:c r="I49" s="3"/>
      <x:c r="J49" s="3"/>
      <x:c r="K49" s="3"/>
      <x:c r="L49" s="3"/>
      <x:c r="M49" s="3"/>
      <x:c r="N49" s="3"/>
      <x:c r="O49" s="3"/>
      <x:c r="P49" s="3"/>
      <x:c r="Q49" s="3"/>
      <x:c r="R49" s="3"/>
      <x:c r="S49" s="3"/>
      <x:c r="T49" s="3"/>
    </x:row>
    <x:row r="50" ht="25" customHeight="1">
      <x:c r="A50" s="2"/>
      <x:c r="B50" s="2"/>
      <x:c r="C50" s="32"/>
      <x:c r="D50" s="3"/>
      <x:c r="E50" s="3"/>
      <x:c r="F50" s="3"/>
      <x:c r="G50" s="3"/>
      <x:c r="H50" s="3"/>
      <x:c r="I50" s="3"/>
      <x:c r="J50" s="3"/>
      <x:c r="K50" s="3"/>
      <x:c r="L50" s="3"/>
      <x:c r="M50" s="3"/>
      <x:c r="N50" s="3"/>
      <x:c r="O50" s="3"/>
      <x:c r="P50" s="3"/>
      <x:c r="Q50" s="3"/>
      <x:c r="R50" s="3"/>
      <x:c r="S50" s="3"/>
      <x:c r="T50" s="3"/>
    </x:row>
    <x:row r="51" ht="25" customHeight="1">
      <x:c r="A51" s="2"/>
      <x:c r="B51" s="2"/>
      <x:c r="C51" s="32"/>
      <x:c r="D51" s="3"/>
      <x:c r="E51" s="3"/>
      <x:c r="F51" s="3"/>
      <x:c r="G51" s="3"/>
      <x:c r="H51" s="3"/>
      <x:c r="I51" s="3"/>
      <x:c r="J51" s="3"/>
      <x:c r="K51" s="3"/>
      <x:c r="L51" s="3"/>
      <x:c r="M51" s="3"/>
      <x:c r="N51" s="3"/>
      <x:c r="O51" s="3"/>
      <x:c r="P51" s="3"/>
      <x:c r="Q51" s="3"/>
      <x:c r="R51" s="3"/>
      <x:c r="S51" s="3"/>
      <x:c r="T51" s="3"/>
    </x:row>
    <x:row r="52" ht="25" customHeight="1">
      <x:c r="A52" s="2"/>
      <x:c r="B52" s="2"/>
      <x:c r="C52" s="32"/>
      <x:c r="D52" s="3"/>
      <x:c r="E52" s="3"/>
      <x:c r="F52" s="3"/>
      <x:c r="G52" s="3"/>
      <x:c r="H52" s="3"/>
      <x:c r="I52" s="3"/>
      <x:c r="J52" s="3"/>
      <x:c r="K52" s="3"/>
      <x:c r="L52" s="3"/>
      <x:c r="M52" s="3"/>
      <x:c r="N52" s="3"/>
      <x:c r="O52" s="3"/>
      <x:c r="P52" s="3"/>
      <x:c r="Q52" s="3"/>
      <x:c r="R52" s="3"/>
      <x:c r="S52" s="3"/>
      <x:c r="T52" s="3"/>
    </x:row>
    <x:row r="53" ht="25" customHeight="1">
      <x:c r="A53" s="2"/>
      <x:c r="B53" s="2"/>
      <x:c r="C53" s="32"/>
      <x:c r="D53" s="3"/>
      <x:c r="E53" s="3"/>
      <x:c r="F53" s="3"/>
      <x:c r="G53" s="3"/>
      <x:c r="H53" s="3"/>
      <x:c r="I53" s="3"/>
      <x:c r="J53" s="3"/>
      <x:c r="K53" s="3"/>
      <x:c r="L53" s="3"/>
      <x:c r="M53" s="3"/>
      <x:c r="N53" s="3"/>
      <x:c r="O53" s="3"/>
      <x:c r="P53" s="3"/>
      <x:c r="Q53" s="3"/>
      <x:c r="R53" s="3"/>
      <x:c r="S53" s="3"/>
      <x:c r="T53" s="3"/>
    </x:row>
    <x:row r="54" ht="25" customHeight="1">
      <x:c r="A54" s="2"/>
      <x:c r="B54" s="2"/>
      <x:c r="C54" s="32"/>
      <x:c r="D54" s="3"/>
      <x:c r="E54" s="3"/>
      <x:c r="F54" s="3"/>
      <x:c r="G54" s="3"/>
      <x:c r="H54" s="3"/>
      <x:c r="I54" s="3"/>
      <x:c r="J54" s="3"/>
      <x:c r="K54" s="3"/>
      <x:c r="L54" s="3"/>
      <x:c r="M54" s="3"/>
      <x:c r="N54" s="3"/>
      <x:c r="O54" s="3"/>
      <x:c r="P54" s="3"/>
      <x:c r="Q54" s="3"/>
      <x:c r="R54" s="3"/>
      <x:c r="S54" s="3"/>
      <x:c r="T54" s="3"/>
    </x:row>
    <x:row r="55" ht="25" customHeight="1">
      <x:c r="A55" s="2"/>
      <x:c r="B55" s="2"/>
      <x:c r="C55" s="32"/>
      <x:c r="D55" s="3"/>
      <x:c r="E55" s="3"/>
      <x:c r="F55" s="3"/>
      <x:c r="G55" s="3"/>
      <x:c r="H55" s="3"/>
      <x:c r="I55" s="3"/>
      <x:c r="J55" s="3"/>
      <x:c r="K55" s="3"/>
      <x:c r="L55" s="3"/>
      <x:c r="M55" s="3"/>
      <x:c r="N55" s="3"/>
      <x:c r="O55" s="3"/>
      <x:c r="P55" s="3"/>
      <x:c r="Q55" s="3"/>
      <x:c r="R55" s="3"/>
      <x:c r="S55" s="3"/>
      <x:c r="T55" s="3"/>
    </x:row>
    <x:row r="56" ht="25" customHeight="1">
      <x:c r="A56" s="2"/>
      <x:c r="B56" s="2"/>
      <x:c r="C56" s="32"/>
      <x:c r="D56" s="3"/>
      <x:c r="E56" s="3"/>
      <x:c r="F56" s="3"/>
      <x:c r="G56" s="3"/>
      <x:c r="H56" s="3"/>
      <x:c r="I56" s="3"/>
      <x:c r="J56" s="3"/>
      <x:c r="K56" s="3"/>
      <x:c r="L56" s="3"/>
      <x:c r="M56" s="3"/>
      <x:c r="N56" s="3"/>
      <x:c r="O56" s="3"/>
      <x:c r="P56" s="3"/>
      <x:c r="Q56" s="3"/>
      <x:c r="R56" s="3"/>
      <x:c r="S56" s="3"/>
      <x:c r="T56" s="3"/>
    </x:row>
    <x:row r="57" ht="25" customHeight="1">
      <x:c r="A57" s="2"/>
      <x:c r="B57" s="2"/>
      <x:c r="C57" s="32"/>
      <x:c r="D57" s="3"/>
      <x:c r="E57" s="3"/>
      <x:c r="F57" s="3"/>
      <x:c r="G57" s="3"/>
      <x:c r="H57" s="3"/>
      <x:c r="I57" s="3"/>
      <x:c r="J57" s="3"/>
      <x:c r="K57" s="3"/>
      <x:c r="L57" s="3"/>
      <x:c r="M57" s="3"/>
      <x:c r="N57" s="3"/>
      <x:c r="O57" s="3"/>
      <x:c r="P57" s="3"/>
      <x:c r="Q57" s="3"/>
      <x:c r="R57" s="3"/>
      <x:c r="S57" s="3"/>
      <x:c r="T57" s="3"/>
    </x:row>
    <x:row r="58" ht="25" customHeight="1">
      <x:c r="A58" s="2"/>
      <x:c r="B58" s="2"/>
      <x:c r="C58" s="32"/>
      <x:c r="D58" s="3"/>
      <x:c r="E58" s="3"/>
      <x:c r="F58" s="3"/>
      <x:c r="G58" s="3"/>
      <x:c r="H58" s="3"/>
      <x:c r="I58" s="3"/>
      <x:c r="J58" s="3"/>
      <x:c r="K58" s="3"/>
      <x:c r="L58" s="3"/>
      <x:c r="M58" s="3"/>
      <x:c r="N58" s="3"/>
      <x:c r="O58" s="3"/>
      <x:c r="P58" s="3"/>
      <x:c r="Q58" s="3"/>
      <x:c r="R58" s="3"/>
      <x:c r="S58" s="3"/>
      <x:c r="T58" s="3"/>
    </x:row>
    <x:row r="59" ht="25" customHeight="1">
      <x:c r="A59" s="2"/>
      <x:c r="B59" s="2"/>
      <x:c r="C59" s="32"/>
      <x:c r="D59" s="3"/>
      <x:c r="E59" s="3"/>
      <x:c r="F59" s="3"/>
      <x:c r="G59" s="3"/>
      <x:c r="H59" s="3"/>
      <x:c r="I59" s="3"/>
      <x:c r="J59" s="3"/>
      <x:c r="K59" s="3"/>
      <x:c r="L59" s="3"/>
      <x:c r="M59" s="3"/>
      <x:c r="N59" s="3"/>
      <x:c r="O59" s="3"/>
      <x:c r="P59" s="3"/>
      <x:c r="Q59" s="3"/>
      <x:c r="R59" s="3"/>
      <x:c r="S59" s="3"/>
      <x:c r="T59" s="3"/>
    </x:row>
    <x:row r="60" ht="25" customHeight="1">
      <x:c r="A60" s="2"/>
      <x:c r="B60" s="2"/>
      <x:c r="C60" s="32"/>
      <x:c r="D60" s="3"/>
      <x:c r="E60" s="3"/>
      <x:c r="F60" s="3"/>
      <x:c r="G60" s="3"/>
      <x:c r="H60" s="3"/>
      <x:c r="I60" s="3"/>
      <x:c r="J60" s="3"/>
      <x:c r="K60" s="3"/>
      <x:c r="L60" s="3"/>
      <x:c r="M60" s="3"/>
      <x:c r="N60" s="3"/>
      <x:c r="O60" s="3"/>
      <x:c r="P60" s="3"/>
      <x:c r="Q60" s="3"/>
      <x:c r="R60" s="3"/>
      <x:c r="S60" s="3"/>
      <x:c r="T60" s="3"/>
    </x:row>
    <x:row r="61" ht="25" customHeight="1">
      <x:c r="A61" s="2"/>
      <x:c r="B61" s="2"/>
      <x:c r="C61" s="32"/>
      <x:c r="D61" s="3"/>
      <x:c r="E61" s="3"/>
      <x:c r="F61" s="3"/>
      <x:c r="G61" s="3"/>
      <x:c r="H61" s="3"/>
      <x:c r="I61" s="3"/>
      <x:c r="J61" s="3"/>
      <x:c r="K61" s="3"/>
      <x:c r="L61" s="3"/>
      <x:c r="M61" s="3"/>
      <x:c r="N61" s="3"/>
      <x:c r="O61" s="3"/>
      <x:c r="P61" s="3"/>
      <x:c r="Q61" s="3"/>
      <x:c r="R61" s="3"/>
      <x:c r="S61" s="3"/>
      <x:c r="T61" s="3"/>
    </x:row>
    <x:row r="62" ht="25" customHeight="1">
      <x:c r="A62" s="2"/>
      <x:c r="B62" s="2"/>
      <x:c r="C62" s="32"/>
      <x:c r="D62" s="3"/>
      <x:c r="E62" s="3"/>
      <x:c r="F62" s="3"/>
      <x:c r="G62" s="3"/>
      <x:c r="H62" s="3"/>
      <x:c r="I62" s="3"/>
      <x:c r="J62" s="3"/>
      <x:c r="K62" s="3"/>
      <x:c r="L62" s="3"/>
      <x:c r="M62" s="3"/>
      <x:c r="N62" s="3"/>
      <x:c r="O62" s="3"/>
      <x:c r="P62" s="3"/>
      <x:c r="Q62" s="3"/>
      <x:c r="R62" s="3"/>
      <x:c r="S62" s="3"/>
      <x:c r="T62" s="3"/>
    </x:row>
    <x:row r="63" ht="25" customHeight="1">
      <x:c r="A63" s="2"/>
      <x:c r="B63" s="2"/>
      <x:c r="C63" s="32"/>
      <x:c r="D63" s="3"/>
      <x:c r="E63" s="3"/>
      <x:c r="F63" s="3"/>
      <x:c r="G63" s="3"/>
      <x:c r="H63" s="3"/>
      <x:c r="I63" s="3"/>
      <x:c r="J63" s="3"/>
      <x:c r="K63" s="3"/>
      <x:c r="L63" s="3"/>
      <x:c r="M63" s="3"/>
      <x:c r="N63" s="3"/>
      <x:c r="O63" s="3"/>
      <x:c r="P63" s="3"/>
      <x:c r="Q63" s="3"/>
      <x:c r="R63" s="3"/>
      <x:c r="S63" s="3"/>
      <x:c r="T63" s="3"/>
    </x:row>
    <x:row r="64" ht="25" customHeight="1">
      <x:c r="A64" s="2"/>
      <x:c r="B64" s="2"/>
      <x:c r="C64" s="32"/>
      <x:c r="D64" s="3"/>
      <x:c r="E64" s="3"/>
      <x:c r="F64" s="3"/>
      <x:c r="G64" s="3"/>
      <x:c r="H64" s="3"/>
      <x:c r="I64" s="3"/>
      <x:c r="J64" s="3"/>
      <x:c r="K64" s="3"/>
      <x:c r="L64" s="3"/>
      <x:c r="M64" s="3"/>
      <x:c r="N64" s="3"/>
      <x:c r="O64" s="3"/>
      <x:c r="P64" s="3"/>
      <x:c r="Q64" s="3"/>
      <x:c r="R64" s="3"/>
      <x:c r="S64" s="3"/>
      <x:c r="T64" s="3"/>
    </x:row>
    <x:row r="65" ht="25" customHeight="1">
      <x:c r="A65" s="2"/>
      <x:c r="B65" s="2"/>
      <x:c r="C65" s="32"/>
      <x:c r="D65" s="3"/>
      <x:c r="E65" s="3"/>
      <x:c r="F65" s="3"/>
      <x:c r="G65" s="3"/>
      <x:c r="H65" s="3"/>
      <x:c r="I65" s="3"/>
      <x:c r="J65" s="3"/>
      <x:c r="K65" s="3"/>
      <x:c r="L65" s="3"/>
      <x:c r="M65" s="3"/>
      <x:c r="N65" s="3"/>
      <x:c r="O65" s="3"/>
      <x:c r="P65" s="3"/>
      <x:c r="Q65" s="3"/>
      <x:c r="R65" s="3"/>
      <x:c r="S65" s="3"/>
      <x:c r="T65" s="3"/>
    </x:row>
    <x:row r="66" ht="25" customHeight="1">
      <x:c r="A66" s="2"/>
      <x:c r="B66" s="2"/>
      <x:c r="C66" s="32"/>
      <x:c r="D66" s="3"/>
      <x:c r="E66" s="3"/>
      <x:c r="F66" s="3"/>
      <x:c r="G66" s="3"/>
      <x:c r="H66" s="3"/>
      <x:c r="I66" s="3"/>
      <x:c r="J66" s="3"/>
      <x:c r="K66" s="3"/>
      <x:c r="L66" s="3"/>
      <x:c r="M66" s="3"/>
      <x:c r="N66" s="3"/>
      <x:c r="O66" s="3"/>
      <x:c r="P66" s="3"/>
      <x:c r="Q66" s="3"/>
      <x:c r="R66" s="3"/>
      <x:c r="S66" s="3"/>
      <x:c r="T66" s="3"/>
    </x:row>
    <x:row r="67" ht="25" customHeight="1">
      <x:c r="A67" s="2"/>
      <x:c r="B67" s="2"/>
      <x:c r="C67" s="32"/>
      <x:c r="D67" s="3"/>
      <x:c r="E67" s="3"/>
      <x:c r="F67" s="3"/>
      <x:c r="G67" s="3"/>
      <x:c r="H67" s="3"/>
      <x:c r="I67" s="3"/>
      <x:c r="J67" s="3"/>
      <x:c r="K67" s="3"/>
      <x:c r="L67" s="3"/>
      <x:c r="M67" s="3"/>
      <x:c r="N67" s="3"/>
      <x:c r="O67" s="3"/>
      <x:c r="P67" s="3"/>
      <x:c r="Q67" s="3"/>
      <x:c r="R67" s="3"/>
      <x:c r="S67" s="3"/>
      <x:c r="T67" s="3"/>
    </x:row>
    <x:row r="68" ht="25" customHeight="1">
      <x:c r="A68" s="2"/>
      <x:c r="B68" s="2"/>
      <x:c r="C68" s="32"/>
      <x:c r="D68" s="3"/>
      <x:c r="E68" s="3"/>
      <x:c r="F68" s="3"/>
      <x:c r="G68" s="3"/>
      <x:c r="H68" s="3"/>
      <x:c r="I68" s="3"/>
      <x:c r="J68" s="3"/>
      <x:c r="K68" s="3"/>
      <x:c r="L68" s="3"/>
      <x:c r="M68" s="3"/>
      <x:c r="N68" s="3"/>
      <x:c r="O68" s="3"/>
      <x:c r="P68" s="3"/>
      <x:c r="Q68" s="3"/>
      <x:c r="R68" s="3"/>
      <x:c r="S68" s="3"/>
      <x:c r="T68" s="3"/>
    </x:row>
    <x:row r="69" ht="25" customHeight="1">
      <x:c r="A69" s="2"/>
      <x:c r="B69" s="2"/>
      <x:c r="C69" s="32"/>
      <x:c r="D69" s="3"/>
      <x:c r="E69" s="3"/>
      <x:c r="F69" s="3"/>
      <x:c r="G69" s="3"/>
      <x:c r="H69" s="3"/>
      <x:c r="I69" s="3"/>
      <x:c r="J69" s="3"/>
      <x:c r="K69" s="3"/>
      <x:c r="L69" s="3"/>
      <x:c r="M69" s="3"/>
      <x:c r="N69" s="3"/>
      <x:c r="O69" s="3"/>
      <x:c r="P69" s="3"/>
      <x:c r="Q69" s="3"/>
      <x:c r="R69" s="3"/>
      <x:c r="S69" s="3"/>
      <x:c r="T69" s="3"/>
    </x:row>
    <x:row r="70" ht="25" customHeight="1">
      <x:c r="A70" s="2"/>
      <x:c r="B70" s="2"/>
      <x:c r="C70" s="32"/>
      <x:c r="D70" s="3"/>
      <x:c r="E70" s="3"/>
      <x:c r="F70" s="3"/>
      <x:c r="G70" s="3"/>
      <x:c r="H70" s="3"/>
      <x:c r="I70" s="3"/>
      <x:c r="J70" s="3"/>
      <x:c r="K70" s="3"/>
      <x:c r="L70" s="3"/>
      <x:c r="M70" s="3"/>
      <x:c r="N70" s="3"/>
      <x:c r="O70" s="3"/>
      <x:c r="P70" s="3"/>
      <x:c r="Q70" s="3"/>
      <x:c r="R70" s="3"/>
      <x:c r="S70" s="3"/>
      <x:c r="T70" s="3"/>
    </x:row>
    <x:row r="71" ht="25" customHeight="1">
      <x:c r="A71" s="2"/>
      <x:c r="B71" s="2"/>
      <x:c r="C71" s="32"/>
      <x:c r="D71" s="3"/>
      <x:c r="E71" s="3"/>
      <x:c r="F71" s="3"/>
      <x:c r="G71" s="3"/>
      <x:c r="H71" s="3"/>
      <x:c r="I71" s="3"/>
      <x:c r="J71" s="3"/>
      <x:c r="K71" s="3"/>
      <x:c r="L71" s="3"/>
      <x:c r="M71" s="3"/>
      <x:c r="N71" s="3"/>
      <x:c r="O71" s="3"/>
      <x:c r="P71" s="3"/>
      <x:c r="Q71" s="3"/>
      <x:c r="R71" s="3"/>
      <x:c r="S71" s="3"/>
      <x:c r="T71" s="3"/>
    </x:row>
    <x:row r="72" ht="25" customHeight="1">
      <x:c r="A72" s="2"/>
      <x:c r="B72" s="2"/>
      <x:c r="C72" s="32"/>
      <x:c r="D72" s="3"/>
      <x:c r="E72" s="3"/>
      <x:c r="F72" s="3"/>
      <x:c r="G72" s="3"/>
      <x:c r="H72" s="3"/>
      <x:c r="I72" s="3"/>
      <x:c r="J72" s="3"/>
      <x:c r="K72" s="3"/>
      <x:c r="L72" s="3"/>
      <x:c r="M72" s="3"/>
      <x:c r="N72" s="3"/>
      <x:c r="O72" s="3"/>
      <x:c r="P72" s="3"/>
      <x:c r="Q72" s="3"/>
      <x:c r="R72" s="3"/>
      <x:c r="S72" s="3"/>
      <x:c r="T72" s="3"/>
    </x:row>
    <x:row r="73" ht="25" customHeight="1">
      <x:c r="A73" s="2"/>
      <x:c r="B73" s="2"/>
      <x:c r="C73" s="32"/>
      <x:c r="D73" s="3"/>
      <x:c r="E73" s="3"/>
      <x:c r="F73" s="3"/>
      <x:c r="G73" s="3"/>
      <x:c r="H73" s="3"/>
      <x:c r="I73" s="3"/>
      <x:c r="J73" s="3"/>
      <x:c r="K73" s="3"/>
      <x:c r="L73" s="3"/>
      <x:c r="M73" s="3"/>
      <x:c r="N73" s="3"/>
      <x:c r="O73" s="3"/>
      <x:c r="P73" s="3"/>
      <x:c r="Q73" s="3"/>
      <x:c r="R73" s="3"/>
      <x:c r="S73" s="3"/>
      <x:c r="T73" s="3"/>
    </x:row>
    <x:row r="74" ht="25" customHeight="1">
      <x:c r="A74" s="2"/>
      <x:c r="B74" s="2"/>
      <x:c r="C74" s="32"/>
      <x:c r="D74" s="3"/>
      <x:c r="E74" s="3"/>
      <x:c r="F74" s="3"/>
      <x:c r="G74" s="3"/>
      <x:c r="H74" s="3"/>
      <x:c r="I74" s="3"/>
      <x:c r="J74" s="3"/>
      <x:c r="K74" s="3"/>
      <x:c r="L74" s="3"/>
      <x:c r="M74" s="3"/>
      <x:c r="N74" s="3"/>
      <x:c r="O74" s="3"/>
      <x:c r="P74" s="3"/>
      <x:c r="Q74" s="3"/>
      <x:c r="R74" s="3"/>
      <x:c r="S74" s="3"/>
      <x:c r="T74" s="3"/>
    </x:row>
    <x:row r="75" ht="25" customHeight="1">
      <x:c r="A75" s="2"/>
      <x:c r="B75" s="2"/>
      <x:c r="C75" s="32"/>
      <x:c r="D75" s="3"/>
      <x:c r="E75" s="3"/>
      <x:c r="F75" s="3"/>
      <x:c r="G75" s="3"/>
      <x:c r="H75" s="3"/>
      <x:c r="I75" s="3"/>
      <x:c r="J75" s="3"/>
      <x:c r="K75" s="3"/>
      <x:c r="L75" s="3"/>
      <x:c r="M75" s="3"/>
      <x:c r="N75" s="3"/>
      <x:c r="O75" s="3"/>
      <x:c r="P75" s="3"/>
      <x:c r="Q75" s="3"/>
      <x:c r="R75" s="3"/>
      <x:c r="S75" s="3"/>
      <x:c r="T75" s="3"/>
    </x:row>
    <x:row r="76" ht="25" customHeight="1">
      <x:c r="A76" s="2"/>
      <x:c r="B76" s="2"/>
      <x:c r="C76" s="32"/>
      <x:c r="D76" s="3"/>
      <x:c r="E76" s="3"/>
      <x:c r="F76" s="3"/>
      <x:c r="G76" s="3"/>
      <x:c r="H76" s="3"/>
      <x:c r="I76" s="3"/>
      <x:c r="J76" s="3"/>
      <x:c r="K76" s="3"/>
      <x:c r="L76" s="3"/>
      <x:c r="M76" s="3"/>
      <x:c r="N76" s="3"/>
      <x:c r="O76" s="3"/>
      <x:c r="P76" s="3"/>
      <x:c r="Q76" s="3"/>
      <x:c r="R76" s="3"/>
      <x:c r="S76" s="3"/>
      <x:c r="T76" s="3"/>
    </x:row>
    <x:row r="77" ht="25" customHeight="1">
      <x:c r="A77" s="2"/>
      <x:c r="B77" s="2"/>
      <x:c r="C77" s="32"/>
      <x:c r="D77" s="3"/>
      <x:c r="E77" s="3"/>
      <x:c r="F77" s="3"/>
      <x:c r="G77" s="3"/>
      <x:c r="H77" s="3"/>
      <x:c r="I77" s="3"/>
      <x:c r="J77" s="3"/>
      <x:c r="K77" s="3"/>
      <x:c r="L77" s="3"/>
      <x:c r="M77" s="3"/>
      <x:c r="N77" s="3"/>
      <x:c r="O77" s="3"/>
      <x:c r="P77" s="3"/>
      <x:c r="Q77" s="3"/>
      <x:c r="R77" s="3"/>
      <x:c r="S77" s="3"/>
      <x:c r="T77" s="3"/>
    </x:row>
    <x:row r="78" ht="25" customHeight="1">
      <x:c r="A78" s="2"/>
      <x:c r="B78" s="2"/>
      <x:c r="C78" s="32"/>
      <x:c r="D78" s="3"/>
      <x:c r="E78" s="3"/>
      <x:c r="F78" s="3"/>
      <x:c r="G78" s="3"/>
      <x:c r="H78" s="3"/>
      <x:c r="I78" s="3"/>
      <x:c r="J78" s="3"/>
      <x:c r="K78" s="3"/>
      <x:c r="L78" s="3"/>
      <x:c r="M78" s="3"/>
      <x:c r="N78" s="3"/>
      <x:c r="O78" s="3"/>
      <x:c r="P78" s="3"/>
      <x:c r="Q78" s="3"/>
      <x:c r="R78" s="3"/>
      <x:c r="S78" s="3"/>
      <x:c r="T78" s="3"/>
    </x:row>
    <x:row r="79" ht="25" customHeight="1">
      <x:c r="A79" s="2"/>
      <x:c r="B79" s="2"/>
      <x:c r="C79" s="32"/>
      <x:c r="D79" s="3"/>
      <x:c r="E79" s="3"/>
      <x:c r="F79" s="3"/>
      <x:c r="G79" s="3"/>
      <x:c r="H79" s="3"/>
      <x:c r="I79" s="3"/>
      <x:c r="J79" s="3"/>
      <x:c r="K79" s="3"/>
      <x:c r="L79" s="3"/>
      <x:c r="M79" s="3"/>
      <x:c r="N79" s="3"/>
      <x:c r="O79" s="3"/>
      <x:c r="P79" s="3"/>
      <x:c r="Q79" s="3"/>
      <x:c r="R79" s="3"/>
      <x:c r="S79" s="3"/>
      <x:c r="T79" s="3"/>
    </x:row>
    <x:row r="80" ht="25" customHeight="1">
      <x:c r="A80" s="2"/>
      <x:c r="B80" s="2"/>
      <x:c r="C80" s="32"/>
      <x:c r="D80" s="3"/>
      <x:c r="E80" s="3"/>
      <x:c r="F80" s="3"/>
      <x:c r="G80" s="3"/>
      <x:c r="H80" s="3"/>
      <x:c r="I80" s="3"/>
      <x:c r="J80" s="3"/>
      <x:c r="K80" s="3"/>
      <x:c r="L80" s="3"/>
      <x:c r="M80" s="3"/>
      <x:c r="N80" s="3"/>
      <x:c r="O80" s="3"/>
      <x:c r="P80" s="3"/>
      <x:c r="Q80" s="3"/>
      <x:c r="R80" s="3"/>
      <x:c r="S80" s="3"/>
      <x:c r="T80" s="3"/>
    </x:row>
    <x:row r="81" ht="25" customHeight="1">
      <x:c r="A81" s="2"/>
      <x:c r="B81" s="2"/>
      <x:c r="C81" s="32"/>
      <x:c r="D81" s="3"/>
      <x:c r="E81" s="3"/>
      <x:c r="F81" s="3"/>
      <x:c r="G81" s="3"/>
      <x:c r="H81" s="3"/>
      <x:c r="I81" s="3"/>
      <x:c r="J81" s="3"/>
      <x:c r="K81" s="3"/>
      <x:c r="L81" s="3"/>
      <x:c r="M81" s="3"/>
      <x:c r="N81" s="3"/>
      <x:c r="O81" s="3"/>
      <x:c r="P81" s="3"/>
      <x:c r="Q81" s="3"/>
      <x:c r="R81" s="3"/>
      <x:c r="S81" s="3"/>
      <x:c r="T81" s="3"/>
    </x:row>
    <x:row r="82" ht="25" customHeight="1">
      <x:c r="A82" s="2"/>
      <x:c r="B82" s="2"/>
      <x:c r="C82" s="32"/>
      <x:c r="D82" s="3"/>
      <x:c r="E82" s="3"/>
      <x:c r="F82" s="3"/>
      <x:c r="G82" s="3"/>
      <x:c r="H82" s="3"/>
      <x:c r="I82" s="3"/>
      <x:c r="J82" s="3"/>
      <x:c r="K82" s="3"/>
      <x:c r="L82" s="3"/>
      <x:c r="M82" s="3"/>
      <x:c r="N82" s="3"/>
      <x:c r="O82" s="3"/>
      <x:c r="P82" s="3"/>
      <x:c r="Q82" s="3"/>
      <x:c r="R82" s="3"/>
      <x:c r="S82" s="3"/>
      <x:c r="T82" s="3"/>
    </x:row>
    <x:row r="83" ht="25" customHeight="1">
      <x:c r="A83" s="2"/>
      <x:c r="B83" s="2"/>
      <x:c r="C83" s="32"/>
      <x:c r="D83" s="3"/>
      <x:c r="E83" s="3"/>
      <x:c r="F83" s="3"/>
      <x:c r="G83" s="3"/>
      <x:c r="H83" s="3"/>
      <x:c r="I83" s="3"/>
      <x:c r="J83" s="3"/>
      <x:c r="K83" s="3"/>
      <x:c r="L83" s="3"/>
      <x:c r="M83" s="3"/>
      <x:c r="N83" s="3"/>
      <x:c r="O83" s="3"/>
      <x:c r="P83" s="3"/>
      <x:c r="Q83" s="3"/>
      <x:c r="R83" s="3"/>
      <x:c r="S83" s="3"/>
      <x:c r="T83" s="3"/>
    </x:row>
    <x:row r="84" ht="25" customHeight="1">
      <x:c r="A84" s="2"/>
      <x:c r="B84" s="2"/>
      <x:c r="C84" s="32"/>
      <x:c r="D84" s="3"/>
      <x:c r="E84" s="3"/>
      <x:c r="F84" s="3"/>
      <x:c r="G84" s="3"/>
      <x:c r="H84" s="3"/>
      <x:c r="I84" s="3"/>
      <x:c r="J84" s="3"/>
      <x:c r="K84" s="3"/>
      <x:c r="L84" s="3"/>
      <x:c r="M84" s="3"/>
      <x:c r="N84" s="3"/>
      <x:c r="O84" s="3"/>
      <x:c r="P84" s="3"/>
      <x:c r="Q84" s="3"/>
      <x:c r="R84" s="3"/>
      <x:c r="S84" s="3"/>
      <x:c r="T84" s="3"/>
    </x:row>
    <x:row r="85" ht="25" customHeight="1">
      <x:c r="A85" s="2"/>
      <x:c r="B85" s="2"/>
      <x:c r="C85" s="32"/>
      <x:c r="D85" s="3"/>
      <x:c r="E85" s="3"/>
      <x:c r="F85" s="3"/>
      <x:c r="G85" s="3"/>
      <x:c r="H85" s="3"/>
      <x:c r="I85" s="3"/>
      <x:c r="J85" s="3"/>
      <x:c r="K85" s="3"/>
      <x:c r="L85" s="3"/>
      <x:c r="M85" s="3"/>
      <x:c r="N85" s="3"/>
      <x:c r="O85" s="3"/>
      <x:c r="P85" s="3"/>
      <x:c r="Q85" s="3"/>
      <x:c r="R85" s="3"/>
      <x:c r="S85" s="3"/>
      <x:c r="T85" s="3"/>
    </x:row>
    <x:row r="86" ht="25" customHeight="1">
      <x:c r="A86" s="2"/>
      <x:c r="B86" s="2"/>
      <x:c r="C86" s="32"/>
      <x:c r="D86" s="3"/>
      <x:c r="E86" s="3"/>
      <x:c r="F86" s="3"/>
      <x:c r="G86" s="3"/>
      <x:c r="H86" s="3"/>
      <x:c r="I86" s="3"/>
      <x:c r="J86" s="3"/>
      <x:c r="K86" s="3"/>
      <x:c r="L86" s="3"/>
      <x:c r="M86" s="3"/>
      <x:c r="N86" s="3"/>
      <x:c r="O86" s="3"/>
      <x:c r="P86" s="3"/>
      <x:c r="Q86" s="3"/>
      <x:c r="R86" s="3"/>
      <x:c r="S86" s="3"/>
      <x:c r="T86" s="3"/>
    </x:row>
    <x:row r="87" ht="25" customHeight="1">
      <x:c r="A87" s="2"/>
      <x:c r="B87" s="2"/>
      <x:c r="C87" s="32"/>
      <x:c r="D87" s="3"/>
      <x:c r="E87" s="3"/>
      <x:c r="F87" s="3"/>
      <x:c r="G87" s="3"/>
      <x:c r="H87" s="3"/>
      <x:c r="I87" s="3"/>
      <x:c r="J87" s="3"/>
      <x:c r="K87" s="3"/>
      <x:c r="L87" s="3"/>
      <x:c r="M87" s="3"/>
      <x:c r="N87" s="3"/>
      <x:c r="O87" s="3"/>
      <x:c r="P87" s="3"/>
      <x:c r="Q87" s="3"/>
      <x:c r="R87" s="3"/>
      <x:c r="S87" s="3"/>
      <x:c r="T87" s="3"/>
    </x:row>
    <x:row r="88" ht="25" customHeight="1">
      <x:c r="A88" s="2"/>
      <x:c r="B88" s="2"/>
      <x:c r="C88" s="32"/>
      <x:c r="D88" s="3"/>
      <x:c r="E88" s="3"/>
      <x:c r="F88" s="3"/>
      <x:c r="G88" s="3"/>
      <x:c r="H88" s="3"/>
      <x:c r="I88" s="3"/>
      <x:c r="J88" s="3"/>
      <x:c r="K88" s="3"/>
      <x:c r="L88" s="3"/>
      <x:c r="M88" s="3"/>
      <x:c r="N88" s="3"/>
      <x:c r="O88" s="3"/>
      <x:c r="P88" s="3"/>
      <x:c r="Q88" s="3"/>
      <x:c r="R88" s="3"/>
      <x:c r="S88" s="3"/>
      <x:c r="T88" s="3"/>
    </x:row>
    <x:row r="89" ht="25" customHeight="1">
      <x:c r="A89" s="2"/>
      <x:c r="B89" s="2"/>
      <x:c r="C89" s="32"/>
      <x:c r="D89" s="3"/>
      <x:c r="E89" s="3"/>
      <x:c r="F89" s="3"/>
      <x:c r="G89" s="3"/>
      <x:c r="H89" s="3"/>
      <x:c r="I89" s="3"/>
      <x:c r="J89" s="3"/>
      <x:c r="K89" s="3"/>
      <x:c r="L89" s="3"/>
      <x:c r="M89" s="3"/>
      <x:c r="N89" s="3"/>
      <x:c r="O89" s="3"/>
      <x:c r="P89" s="3"/>
      <x:c r="Q89" s="3"/>
      <x:c r="R89" s="3"/>
      <x:c r="S89" s="3"/>
      <x:c r="T89" s="3"/>
    </x:row>
    <x:row r="90" ht="25" customHeight="1">
      <x:c r="A90" s="2"/>
      <x:c r="B90" s="2"/>
      <x:c r="C90" s="32"/>
      <x:c r="D90" s="3"/>
      <x:c r="E90" s="3"/>
      <x:c r="F90" s="3"/>
      <x:c r="G90" s="3"/>
      <x:c r="H90" s="3"/>
      <x:c r="I90" s="3"/>
      <x:c r="J90" s="3"/>
      <x:c r="K90" s="3"/>
      <x:c r="L90" s="3"/>
      <x:c r="M90" s="3"/>
      <x:c r="N90" s="3"/>
      <x:c r="O90" s="3"/>
      <x:c r="P90" s="3"/>
      <x:c r="Q90" s="3"/>
      <x:c r="R90" s="3"/>
      <x:c r="S90" s="3"/>
      <x:c r="T90" s="3"/>
    </x:row>
    <x:row r="91" ht="25" customHeight="1">
      <x:c r="A91" s="2"/>
      <x:c r="B91" s="2"/>
      <x:c r="C91" s="32"/>
      <x:c r="D91" s="3"/>
      <x:c r="E91" s="3"/>
      <x:c r="F91" s="3"/>
      <x:c r="G91" s="3"/>
      <x:c r="H91" s="3"/>
      <x:c r="I91" s="3"/>
      <x:c r="J91" s="3"/>
      <x:c r="K91" s="3"/>
      <x:c r="L91" s="3"/>
      <x:c r="M91" s="3"/>
      <x:c r="N91" s="3"/>
      <x:c r="O91" s="3"/>
      <x:c r="P91" s="3"/>
      <x:c r="Q91" s="3"/>
      <x:c r="R91" s="3"/>
      <x:c r="S91" s="3"/>
      <x:c r="T91" s="3"/>
    </x:row>
    <x:row r="92" ht="25" customHeight="1">
      <x:c r="A92" s="2"/>
      <x:c r="B92" s="2"/>
      <x:c r="C92" s="32"/>
      <x:c r="D92" s="3"/>
      <x:c r="E92" s="3"/>
      <x:c r="F92" s="3"/>
      <x:c r="G92" s="3"/>
      <x:c r="H92" s="3"/>
      <x:c r="I92" s="3"/>
      <x:c r="J92" s="3"/>
      <x:c r="K92" s="3"/>
      <x:c r="L92" s="3"/>
      <x:c r="M92" s="3"/>
      <x:c r="N92" s="3"/>
      <x:c r="O92" s="3"/>
      <x:c r="P92" s="3"/>
      <x:c r="Q92" s="3"/>
      <x:c r="R92" s="3"/>
      <x:c r="S92" s="3"/>
      <x:c r="T92" s="3"/>
    </x:row>
    <x:row r="93" ht="25" customHeight="1">
      <x:c r="A93" s="2"/>
      <x:c r="B93" s="2"/>
      <x:c r="C93" s="32"/>
      <x:c r="D93" s="3"/>
      <x:c r="E93" s="3"/>
      <x:c r="F93" s="3"/>
      <x:c r="G93" s="3"/>
      <x:c r="H93" s="3"/>
      <x:c r="I93" s="3"/>
      <x:c r="J93" s="3"/>
      <x:c r="K93" s="3"/>
      <x:c r="L93" s="3"/>
      <x:c r="M93" s="3"/>
      <x:c r="N93" s="3"/>
      <x:c r="O93" s="3"/>
      <x:c r="P93" s="3"/>
      <x:c r="Q93" s="3"/>
      <x:c r="R93" s="3"/>
      <x:c r="S93" s="3"/>
      <x:c r="T93" s="3"/>
    </x:row>
    <x:row r="94" ht="25" customHeight="1">
      <x:c r="A94" s="2"/>
      <x:c r="B94" s="2"/>
      <x:c r="C94" s="32"/>
      <x:c r="D94" s="3"/>
      <x:c r="E94" s="3"/>
      <x:c r="F94" s="3"/>
      <x:c r="G94" s="3"/>
      <x:c r="H94" s="3"/>
      <x:c r="I94" s="3"/>
      <x:c r="J94" s="3"/>
      <x:c r="K94" s="3"/>
      <x:c r="L94" s="3"/>
      <x:c r="M94" s="3"/>
      <x:c r="N94" s="3"/>
      <x:c r="O94" s="3"/>
      <x:c r="P94" s="3"/>
      <x:c r="Q94" s="3"/>
      <x:c r="R94" s="3"/>
      <x:c r="S94" s="3"/>
      <x:c r="T94" s="3"/>
    </x:row>
    <x:row r="95" ht="25" customHeight="1">
      <x:c r="A95" s="2"/>
      <x:c r="B95" s="2"/>
      <x:c r="C95" s="32"/>
      <x:c r="D95" s="3"/>
      <x:c r="E95" s="3"/>
      <x:c r="F95" s="3"/>
      <x:c r="G95" s="3"/>
      <x:c r="H95" s="3"/>
      <x:c r="I95" s="3"/>
      <x:c r="J95" s="3"/>
      <x:c r="K95" s="3"/>
      <x:c r="L95" s="3"/>
      <x:c r="M95" s="3"/>
      <x:c r="N95" s="3"/>
      <x:c r="O95" s="3"/>
      <x:c r="P95" s="3"/>
      <x:c r="Q95" s="3"/>
      <x:c r="R95" s="3"/>
      <x:c r="S95" s="3"/>
      <x:c r="T95" s="3"/>
    </x:row>
    <x:row r="96" ht="25" customHeight="1">
      <x:c r="A96" s="2"/>
      <x:c r="B96" s="2"/>
      <x:c r="C96" s="32"/>
      <x:c r="D96" s="3"/>
      <x:c r="E96" s="3"/>
      <x:c r="F96" s="3"/>
      <x:c r="G96" s="3"/>
      <x:c r="H96" s="3"/>
      <x:c r="I96" s="3"/>
      <x:c r="J96" s="3"/>
      <x:c r="K96" s="3"/>
      <x:c r="L96" s="3"/>
      <x:c r="M96" s="3"/>
      <x:c r="N96" s="3"/>
      <x:c r="O96" s="3"/>
      <x:c r="P96" s="3"/>
      <x:c r="Q96" s="3"/>
      <x:c r="R96" s="3"/>
      <x:c r="S96" s="3"/>
      <x:c r="T96" s="3"/>
    </x:row>
    <x:row r="97" ht="25" customHeight="1">
      <x:c r="A97" s="2"/>
      <x:c r="B97" s="2"/>
      <x:c r="C97" s="32"/>
      <x:c r="D97" s="3"/>
      <x:c r="E97" s="3"/>
      <x:c r="F97" s="3"/>
      <x:c r="G97" s="3"/>
      <x:c r="H97" s="3"/>
      <x:c r="I97" s="3"/>
      <x:c r="J97" s="3"/>
      <x:c r="K97" s="3"/>
      <x:c r="L97" s="3"/>
      <x:c r="M97" s="3"/>
      <x:c r="N97" s="3"/>
      <x:c r="O97" s="3"/>
      <x:c r="P97" s="3"/>
      <x:c r="Q97" s="3"/>
      <x:c r="R97" s="3"/>
      <x:c r="S97" s="3"/>
      <x:c r="T97" s="3"/>
    </x:row>
    <x:row r="98" ht="25" customHeight="1">
      <x:c r="A98" s="2"/>
      <x:c r="B98" s="2"/>
      <x:c r="C98" s="32"/>
      <x:c r="D98" s="3"/>
      <x:c r="E98" s="3"/>
      <x:c r="F98" s="3"/>
      <x:c r="G98" s="3"/>
      <x:c r="H98" s="3"/>
      <x:c r="I98" s="3"/>
      <x:c r="J98" s="3"/>
      <x:c r="K98" s="3"/>
      <x:c r="L98" s="3"/>
      <x:c r="M98" s="3"/>
      <x:c r="N98" s="3"/>
      <x:c r="O98" s="3"/>
      <x:c r="P98" s="3"/>
      <x:c r="Q98" s="3"/>
      <x:c r="R98" s="3"/>
      <x:c r="S98" s="3"/>
      <x:c r="T98" s="3"/>
    </x:row>
    <x:row r="99" ht="25" customHeight="1">
      <x:c r="A99" s="2"/>
      <x:c r="B99" s="2"/>
      <x:c r="C99" s="32"/>
      <x:c r="D99" s="3"/>
      <x:c r="E99" s="3"/>
      <x:c r="F99" s="3"/>
      <x:c r="G99" s="3"/>
      <x:c r="H99" s="3"/>
      <x:c r="I99" s="3"/>
      <x:c r="J99" s="3"/>
      <x:c r="K99" s="3"/>
      <x:c r="L99" s="3"/>
      <x:c r="M99" s="3"/>
      <x:c r="N99" s="3"/>
      <x:c r="O99" s="3"/>
      <x:c r="P99" s="3"/>
      <x:c r="Q99" s="3"/>
      <x:c r="R99" s="3"/>
      <x:c r="S99" s="3"/>
      <x:c r="T99" s="3"/>
    </x:row>
    <x:row r="100" ht="25" customHeight="1">
      <x:c r="A100" s="2"/>
      <x:c r="B100" s="2"/>
      <x:c r="C100" s="32"/>
      <x:c r="D100" s="3"/>
      <x:c r="E100" s="3"/>
      <x:c r="F100" s="3"/>
      <x:c r="G100" s="3"/>
      <x:c r="H100" s="3"/>
      <x:c r="I100" s="3"/>
      <x:c r="J100" s="3"/>
      <x:c r="K100" s="3"/>
      <x:c r="L100" s="3"/>
      <x:c r="M100" s="3"/>
      <x:c r="N100" s="3"/>
      <x:c r="O100" s="3"/>
      <x:c r="P100" s="3"/>
      <x:c r="Q100" s="3"/>
      <x:c r="R100" s="3"/>
      <x:c r="S100" s="3"/>
      <x:c r="T100" s="3"/>
    </x:row>
    <x:row r="101" ht="25" customHeight="1">
      <x:c r="A101" s="2"/>
      <x:c r="B101" s="2"/>
      <x:c r="C101" s="32"/>
      <x:c r="D101" s="3"/>
      <x:c r="E101" s="3"/>
      <x:c r="F101" s="3"/>
      <x:c r="G101" s="3"/>
      <x:c r="H101" s="3"/>
      <x:c r="I101" s="3"/>
      <x:c r="J101" s="3"/>
      <x:c r="K101" s="3"/>
      <x:c r="L101" s="3"/>
      <x:c r="M101" s="3"/>
      <x:c r="N101" s="3"/>
      <x:c r="O101" s="3"/>
      <x:c r="P101" s="3"/>
      <x:c r="Q101" s="3"/>
      <x:c r="R101" s="3"/>
      <x:c r="S101" s="3"/>
      <x:c r="T101" s="3"/>
    </x:row>
    <x:row r="102" ht="25" customHeight="1">
      <x:c r="A102" s="2"/>
      <x:c r="B102" s="2"/>
      <x:c r="C102" s="32"/>
      <x:c r="D102" s="3"/>
      <x:c r="E102" s="3"/>
      <x:c r="F102" s="3"/>
      <x:c r="G102" s="3"/>
      <x:c r="H102" s="3"/>
      <x:c r="I102" s="3"/>
      <x:c r="J102" s="3"/>
      <x:c r="K102" s="3"/>
      <x:c r="L102" s="3"/>
      <x:c r="M102" s="3"/>
      <x:c r="N102" s="3"/>
      <x:c r="O102" s="3"/>
      <x:c r="P102" s="3"/>
      <x:c r="Q102" s="3"/>
      <x:c r="R102" s="3"/>
      <x:c r="S102" s="3"/>
      <x:c r="T102" s="3"/>
    </x:row>
    <x:row r="103" ht="25" customHeight="1">
      <x:c r="A103" s="2"/>
      <x:c r="B103" s="2"/>
      <x:c r="C103" s="32"/>
      <x:c r="D103" s="3"/>
      <x:c r="E103" s="3"/>
      <x:c r="F103" s="3"/>
      <x:c r="G103" s="3"/>
      <x:c r="H103" s="3"/>
      <x:c r="I103" s="3"/>
      <x:c r="J103" s="3"/>
      <x:c r="K103" s="3"/>
      <x:c r="L103" s="3"/>
      <x:c r="M103" s="3"/>
      <x:c r="N103" s="3"/>
      <x:c r="O103" s="3"/>
      <x:c r="P103" s="3"/>
      <x:c r="Q103" s="3"/>
      <x:c r="R103" s="3"/>
      <x:c r="S103" s="3"/>
      <x:c r="T103" s="3"/>
    </x:row>
    <x:row r="104" ht="25" customHeight="1">
      <x:c r="A104" s="2"/>
      <x:c r="B104" s="2"/>
      <x:c r="C104" s="32"/>
      <x:c r="D104" s="3"/>
      <x:c r="E104" s="3"/>
      <x:c r="F104" s="3"/>
      <x:c r="G104" s="3"/>
      <x:c r="H104" s="3"/>
      <x:c r="I104" s="3"/>
      <x:c r="J104" s="3"/>
      <x:c r="K104" s="3"/>
      <x:c r="L104" s="3"/>
      <x:c r="M104" s="3"/>
      <x:c r="N104" s="3"/>
      <x:c r="O104" s="3"/>
      <x:c r="P104" s="3"/>
      <x:c r="Q104" s="3"/>
      <x:c r="R104" s="3"/>
      <x:c r="S104" s="3"/>
      <x:c r="T104" s="3"/>
    </x:row>
    <x:row r="105" ht="25" customHeight="1">
      <x:c r="A105" s="2"/>
      <x:c r="B105" s="2"/>
      <x:c r="C105" s="32"/>
      <x:c r="D105" s="3"/>
      <x:c r="E105" s="3"/>
      <x:c r="F105" s="3"/>
      <x:c r="G105" s="3"/>
      <x:c r="H105" s="3"/>
      <x:c r="I105" s="3"/>
      <x:c r="J105" s="3"/>
      <x:c r="K105" s="3"/>
      <x:c r="L105" s="3"/>
      <x:c r="M105" s="3"/>
      <x:c r="N105" s="3"/>
      <x:c r="O105" s="3"/>
      <x:c r="P105" s="3"/>
      <x:c r="Q105" s="3"/>
      <x:c r="R105" s="3"/>
      <x:c r="S105" s="3"/>
      <x:c r="T105" s="3"/>
    </x:row>
    <x:row r="106" ht="25" customHeight="1">
      <x:c r="A106" s="2"/>
      <x:c r="B106" s="2"/>
      <x:c r="C106" s="32"/>
      <x:c r="D106" s="3"/>
      <x:c r="E106" s="3"/>
      <x:c r="F106" s="3"/>
      <x:c r="G106" s="3"/>
      <x:c r="H106" s="3"/>
      <x:c r="I106" s="3"/>
      <x:c r="J106" s="3"/>
      <x:c r="K106" s="3"/>
      <x:c r="L106" s="3"/>
      <x:c r="M106" s="3"/>
      <x:c r="N106" s="3"/>
      <x:c r="O106" s="3"/>
      <x:c r="P106" s="3"/>
      <x:c r="Q106" s="3"/>
      <x:c r="R106" s="3"/>
      <x:c r="S106" s="3"/>
      <x:c r="T106" s="3"/>
    </x:row>
    <x:row r="107" ht="25" customHeight="1">
      <x:c r="A107" s="2"/>
      <x:c r="B107" s="2"/>
      <x:c r="C107" s="32"/>
      <x:c r="D107" s="3"/>
      <x:c r="E107" s="3"/>
      <x:c r="F107" s="3"/>
      <x:c r="G107" s="3"/>
      <x:c r="H107" s="3"/>
      <x:c r="I107" s="3"/>
      <x:c r="J107" s="3"/>
      <x:c r="K107" s="3"/>
      <x:c r="L107" s="3"/>
      <x:c r="M107" s="3"/>
      <x:c r="N107" s="3"/>
      <x:c r="O107" s="3"/>
      <x:c r="P107" s="3"/>
      <x:c r="Q107" s="3"/>
      <x:c r="R107" s="3"/>
      <x:c r="S107" s="3"/>
      <x:c r="T107" s="3"/>
    </x:row>
    <x:row r="108" ht="25" customHeight="1">
      <x:c r="A108" s="2"/>
      <x:c r="B108" s="2"/>
      <x:c r="C108" s="32"/>
      <x:c r="D108" s="3"/>
      <x:c r="E108" s="3"/>
      <x:c r="F108" s="3"/>
      <x:c r="G108" s="3"/>
      <x:c r="H108" s="3"/>
      <x:c r="I108" s="3"/>
      <x:c r="J108" s="3"/>
      <x:c r="K108" s="3"/>
      <x:c r="L108" s="3"/>
      <x:c r="M108" s="3"/>
      <x:c r="N108" s="3"/>
      <x:c r="O108" s="3"/>
      <x:c r="P108" s="3"/>
      <x:c r="Q108" s="3"/>
      <x:c r="R108" s="3"/>
      <x:c r="S108" s="3"/>
      <x:c r="T108" s="3"/>
    </x:row>
    <x:row r="109" ht="25" customHeight="1">
      <x:c r="A109" s="2"/>
      <x:c r="B109" s="2"/>
      <x:c r="C109" s="32"/>
      <x:c r="D109" s="3"/>
      <x:c r="E109" s="3"/>
      <x:c r="F109" s="3"/>
      <x:c r="G109" s="3"/>
      <x:c r="H109" s="3"/>
      <x:c r="I109" s="3"/>
      <x:c r="J109" s="3"/>
      <x:c r="K109" s="3"/>
      <x:c r="L109" s="3"/>
      <x:c r="M109" s="3"/>
      <x:c r="N109" s="3"/>
      <x:c r="O109" s="3"/>
      <x:c r="P109" s="3"/>
      <x:c r="Q109" s="3"/>
      <x:c r="R109" s="3"/>
      <x:c r="S109" s="3"/>
      <x:c r="T109" s="3"/>
    </x:row>
    <x:row r="110" ht="25" customHeight="1">
      <x:c r="A110" s="2"/>
      <x:c r="B110" s="2"/>
      <x:c r="C110" s="32"/>
      <x:c r="D110" s="3"/>
      <x:c r="E110" s="3"/>
      <x:c r="F110" s="3"/>
      <x:c r="G110" s="3"/>
      <x:c r="H110" s="3"/>
      <x:c r="I110" s="3"/>
      <x:c r="J110" s="3"/>
      <x:c r="K110" s="3"/>
      <x:c r="L110" s="3"/>
      <x:c r="M110" s="3"/>
      <x:c r="N110" s="3"/>
      <x:c r="O110" s="3"/>
      <x:c r="P110" s="3"/>
      <x:c r="Q110" s="3"/>
      <x:c r="R110" s="3"/>
      <x:c r="S110" s="3"/>
      <x:c r="T110" s="3"/>
    </x:row>
    <x:row r="111" ht="25" customHeight="1">
      <x:c r="A111" s="2"/>
      <x:c r="B111" s="2"/>
      <x:c r="C111" s="32"/>
      <x:c r="D111" s="3"/>
      <x:c r="E111" s="3"/>
      <x:c r="F111" s="3"/>
      <x:c r="G111" s="3"/>
      <x:c r="H111" s="3"/>
      <x:c r="I111" s="3"/>
      <x:c r="J111" s="3"/>
      <x:c r="K111" s="3"/>
      <x:c r="L111" s="3"/>
      <x:c r="M111" s="3"/>
      <x:c r="N111" s="3"/>
      <x:c r="O111" s="3"/>
      <x:c r="P111" s="3"/>
      <x:c r="Q111" s="3"/>
      <x:c r="R111" s="3"/>
      <x:c r="S111" s="3"/>
      <x:c r="T111" s="3"/>
    </x:row>
    <x:row r="112" ht="25" customHeight="1">
      <x:c r="A112" s="2"/>
      <x:c r="B112" s="2"/>
      <x:c r="C112" s="32"/>
      <x:c r="D112" s="3"/>
      <x:c r="E112" s="3"/>
      <x:c r="F112" s="3"/>
      <x:c r="G112" s="3"/>
      <x:c r="H112" s="3"/>
      <x:c r="I112" s="3"/>
      <x:c r="J112" s="3"/>
      <x:c r="K112" s="3"/>
      <x:c r="L112" s="3"/>
      <x:c r="M112" s="3"/>
      <x:c r="N112" s="3"/>
      <x:c r="O112" s="3"/>
      <x:c r="P112" s="3"/>
      <x:c r="Q112" s="3"/>
      <x:c r="R112" s="3"/>
      <x:c r="S112" s="3"/>
      <x:c r="T112" s="3"/>
    </x:row>
    <x:row r="113" ht="25" customHeight="1">
      <x:c r="A113" s="2"/>
      <x:c r="B113" s="2"/>
      <x:c r="C113" s="32"/>
      <x:c r="D113" s="3"/>
      <x:c r="E113" s="3"/>
      <x:c r="F113" s="3"/>
      <x:c r="G113" s="3"/>
      <x:c r="H113" s="3"/>
      <x:c r="I113" s="3"/>
      <x:c r="J113" s="3"/>
      <x:c r="K113" s="3"/>
      <x:c r="L113" s="3"/>
      <x:c r="M113" s="3"/>
      <x:c r="N113" s="3"/>
      <x:c r="O113" s="3"/>
      <x:c r="P113" s="3"/>
      <x:c r="Q113" s="3"/>
      <x:c r="R113" s="3"/>
      <x:c r="S113" s="3"/>
      <x:c r="T113" s="3"/>
    </x:row>
    <x:row r="114" ht="25" customHeight="1">
      <x:c r="A114" s="2"/>
      <x:c r="B114" s="2"/>
      <x:c r="C114" s="32"/>
      <x:c r="D114" s="3"/>
      <x:c r="E114" s="3"/>
      <x:c r="F114" s="3"/>
      <x:c r="G114" s="3"/>
      <x:c r="H114" s="3"/>
      <x:c r="I114" s="3"/>
      <x:c r="J114" s="3"/>
      <x:c r="K114" s="3"/>
      <x:c r="L114" s="3"/>
      <x:c r="M114" s="3"/>
      <x:c r="N114" s="3"/>
      <x:c r="O114" s="3"/>
      <x:c r="P114" s="3"/>
      <x:c r="Q114" s="3"/>
      <x:c r="R114" s="3"/>
      <x:c r="S114" s="3"/>
      <x:c r="T114" s="3"/>
    </x:row>
    <x:row r="115" ht="25" customHeight="1">
      <x:c r="A115" s="2"/>
      <x:c r="B115" s="2"/>
      <x:c r="C115" s="32"/>
      <x:c r="D115" s="3"/>
      <x:c r="E115" s="3"/>
      <x:c r="F115" s="3"/>
      <x:c r="G115" s="3"/>
      <x:c r="H115" s="3"/>
      <x:c r="I115" s="3"/>
      <x:c r="J115" s="3"/>
      <x:c r="K115" s="3"/>
      <x:c r="L115" s="3"/>
      <x:c r="M115" s="3"/>
      <x:c r="N115" s="3"/>
      <x:c r="O115" s="3"/>
      <x:c r="P115" s="3"/>
      <x:c r="Q115" s="3"/>
      <x:c r="R115" s="3"/>
      <x:c r="S115" s="3"/>
      <x:c r="T115" s="3"/>
    </x:row>
    <x:row r="116" ht="25" customHeight="1">
      <x:c r="A116" s="2"/>
      <x:c r="B116" s="2"/>
      <x:c r="C116" s="32"/>
      <x:c r="D116" s="3"/>
      <x:c r="E116" s="3"/>
      <x:c r="F116" s="3"/>
      <x:c r="G116" s="3"/>
      <x:c r="H116" s="3"/>
      <x:c r="I116" s="3"/>
      <x:c r="J116" s="3"/>
      <x:c r="K116" s="3"/>
      <x:c r="L116" s="3"/>
      <x:c r="M116" s="3"/>
      <x:c r="N116" s="3"/>
      <x:c r="O116" s="3"/>
      <x:c r="P116" s="3"/>
      <x:c r="Q116" s="3"/>
      <x:c r="R116" s="3"/>
      <x:c r="S116" s="3"/>
      <x:c r="T116" s="3"/>
    </x:row>
    <x:row r="117" ht="25" customHeight="1">
      <x:c r="A117" s="2"/>
      <x:c r="B117" s="2"/>
      <x:c r="C117" s="32"/>
      <x:c r="D117" s="3"/>
      <x:c r="E117" s="3"/>
      <x:c r="F117" s="3"/>
      <x:c r="G117" s="3"/>
      <x:c r="H117" s="3"/>
      <x:c r="I117" s="3"/>
      <x:c r="J117" s="3"/>
      <x:c r="K117" s="3"/>
      <x:c r="L117" s="3"/>
      <x:c r="M117" s="3"/>
      <x:c r="N117" s="3"/>
      <x:c r="O117" s="3"/>
      <x:c r="P117" s="3"/>
      <x:c r="Q117" s="3"/>
      <x:c r="R117" s="3"/>
      <x:c r="S117" s="3"/>
      <x:c r="T117" s="3"/>
    </x:row>
    <x:row r="118" ht="25" customHeight="1">
      <x:c r="A118" s="2"/>
      <x:c r="B118" s="2"/>
      <x:c r="C118" s="32"/>
      <x:c r="D118" s="3"/>
      <x:c r="E118" s="3"/>
      <x:c r="F118" s="3"/>
      <x:c r="G118" s="3"/>
      <x:c r="H118" s="3"/>
      <x:c r="I118" s="3"/>
      <x:c r="J118" s="3"/>
      <x:c r="K118" s="3"/>
      <x:c r="L118" s="3"/>
      <x:c r="M118" s="3"/>
      <x:c r="N118" s="3"/>
      <x:c r="O118" s="3"/>
      <x:c r="P118" s="3"/>
      <x:c r="Q118" s="3"/>
      <x:c r="R118" s="3"/>
      <x:c r="S118" s="3"/>
      <x:c r="T118" s="3"/>
    </x:row>
    <x:row r="119" ht="25" customHeight="1">
      <x:c r="A119" s="2"/>
      <x:c r="B119" s="2"/>
      <x:c r="C119" s="32"/>
      <x:c r="D119" s="3"/>
      <x:c r="E119" s="3"/>
      <x:c r="F119" s="3"/>
      <x:c r="G119" s="3"/>
      <x:c r="H119" s="3"/>
      <x:c r="I119" s="3"/>
      <x:c r="J119" s="3"/>
      <x:c r="K119" s="3"/>
      <x:c r="L119" s="3"/>
      <x:c r="M119" s="3"/>
      <x:c r="N119" s="3"/>
      <x:c r="O119" s="3"/>
      <x:c r="P119" s="3"/>
      <x:c r="Q119" s="3"/>
      <x:c r="R119" s="3"/>
      <x:c r="S119" s="3"/>
      <x:c r="T119" s="3"/>
    </x:row>
    <x:row r="120" ht="25" customHeight="1">
      <x:c r="A120" s="2"/>
      <x:c r="B120" s="2"/>
      <x:c r="C120" s="32"/>
      <x:c r="D120" s="3"/>
      <x:c r="E120" s="3"/>
      <x:c r="F120" s="3"/>
      <x:c r="G120" s="3"/>
      <x:c r="H120" s="3"/>
      <x:c r="I120" s="3"/>
      <x:c r="J120" s="3"/>
      <x:c r="K120" s="3"/>
      <x:c r="L120" s="3"/>
      <x:c r="M120" s="3"/>
      <x:c r="N120" s="3"/>
      <x:c r="O120" s="3"/>
      <x:c r="P120" s="3"/>
      <x:c r="Q120" s="3"/>
      <x:c r="R120" s="3"/>
      <x:c r="S120" s="3"/>
      <x:c r="T120" s="3"/>
    </x:row>
  </x:sheetData>
  <x:mergeCells>
    <x:mergeCell ref="C2:T2"/>
  </x:mergeCells>
  <x:pageMargins left="0.7" right="0.7" top="0.75" bottom="0.75" header="0.3" footer="0.3"/>
</x:worksheet>
</file>

<file path=xl/worksheets/sheet9.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2" hidden="0" customWidth="1"/>
    <x:col min="2" max="2" width="2" hidden="0" customWidth="1"/>
    <x:col min="3" max="3" width="48"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 min="17" max="17" width="16" hidden="0" customWidth="1"/>
    <x:col min="18" max="18" width="16" hidden="0" customWidth="1"/>
    <x:col min="19" max="19" width="16" hidden="0" customWidth="1"/>
    <x:col min="20" max="20" width="16" hidden="0" customWidth="1"/>
  </x:cols>
  <x:sheetData>
    <x:row r="1" ht="25" customHeight="1">
      <x:c r="A1" s="2"/>
      <x:c r="B1" s="2"/>
      <x:c r="C1" s="2"/>
      <x:c r="D1" s="3"/>
      <x:c r="E1" s="3"/>
      <x:c r="F1" s="3"/>
      <x:c r="G1" s="3"/>
      <x:c r="H1" s="3"/>
      <x:c r="I1" s="3"/>
      <x:c r="J1" s="3"/>
      <x:c r="K1" s="3"/>
      <x:c r="L1" s="3"/>
      <x:c r="M1" s="3"/>
      <x:c r="N1" s="3"/>
      <x:c r="O1" s="3"/>
      <x:c r="P1" s="3"/>
      <x:c r="Q1" s="3"/>
      <x:c r="R1" s="3"/>
      <x:c r="S1" s="3"/>
      <x:c r="T1" s="3"/>
    </x:row>
    <x:row r="2" ht="34" customHeight="1">
      <x:c r="A2" s="2"/>
      <x:c r="B2" s="2"/>
      <x:c r="C2" s="4" t="str">
        <x:v>Profit, cash and funding requirements</x:v>
      </x:c>
      <x:c r="D2" s="3"/>
      <x:c r="E2" s="3"/>
      <x:c r="F2" s="3"/>
      <x:c r="G2" s="3"/>
      <x:c r="H2" s="3"/>
      <x:c r="I2" s="3"/>
      <x:c r="J2" s="3"/>
      <x:c r="K2" s="3"/>
      <x:c r="L2" s="3"/>
      <x:c r="M2" s="3"/>
      <x:c r="N2" s="3"/>
      <x:c r="O2" s="3"/>
      <x:c r="P2" s="3"/>
      <x:c r="Q2" s="3"/>
      <x:c r="R2" s="3"/>
      <x:c r="S2" s="3"/>
      <x:c r="T2" s="3"/>
    </x:row>
    <x:row r="3" ht="25" customHeight="1">
      <x:c r="A3" s="2"/>
      <x:c r="B3" s="2"/>
      <x:c r="C3" s="2" t="str">
        <x:v>Selected case</x:v>
      </x:c>
      <x:c r="D3" s="52" t="str">
        <x:f>'Inputs'!$E$3</x:f>
        <x:v>Base</x:v>
      </x:c>
      <x:c r="E3" s="3"/>
      <x:c r="F3" s="3"/>
      <x:c r="G3" s="3"/>
      <x:c r="H3" s="3"/>
      <x:c r="I3" s="3"/>
      <x:c r="J3" s="3"/>
      <x:c r="K3" s="3"/>
      <x:c r="L3" s="3"/>
      <x:c r="M3" s="3"/>
      <x:c r="N3" s="3"/>
      <x:c r="O3" s="3"/>
      <x:c r="P3" s="3"/>
      <x:c r="Q3" s="3"/>
      <x:c r="R3" s="3"/>
      <x:c r="S3" s="3"/>
      <x:c r="T3" s="3"/>
    </x:row>
    <x:row r="4" ht="25" customHeight="1">
      <x:c r="A4" s="2"/>
      <x:c r="B4" s="2"/>
      <x:c r="C4" s="2"/>
      <x:c r="D4" s="3"/>
      <x:c r="E4" s="3"/>
      <x:c r="F4" s="3"/>
      <x:c r="G4" s="3"/>
      <x:c r="H4" s="3"/>
      <x:c r="I4" s="3"/>
      <x:c r="J4" s="3"/>
      <x:c r="K4" s="3"/>
      <x:c r="L4" s="3"/>
      <x:c r="M4" s="3"/>
      <x:c r="N4" s="3"/>
      <x:c r="O4" s="3"/>
      <x:c r="P4" s="3"/>
      <x:c r="Q4" s="3"/>
      <x:c r="R4" s="3"/>
      <x:c r="S4" s="3"/>
      <x:c r="T4" s="3"/>
    </x:row>
    <x:row r="5" ht="25" customHeight="1">
      <x:c r="A5" s="2"/>
      <x:c r="B5" s="2"/>
      <x:c r="C5" s="7"/>
      <x:c r="D5" s="8" t="str">
        <x:v>Q4:26</x:v>
      </x:c>
      <x:c r="E5" s="8" t="str">
        <x:v>Q1:27</x:v>
      </x:c>
      <x:c r="F5" s="8" t="str">
        <x:v>Q2:27</x:v>
      </x:c>
      <x:c r="G5" s="8" t="str">
        <x:v>Q3:27</x:v>
      </x:c>
      <x:c r="H5" s="8" t="str">
        <x:v>Q4:27</x:v>
      </x:c>
      <x:c r="I5" s="8" t="str">
        <x:v>Q1:28</x:v>
      </x:c>
      <x:c r="J5" s="8" t="str">
        <x:v>Q2:28</x:v>
      </x:c>
      <x:c r="K5" s="8" t="str">
        <x:v>Q3:28</x:v>
      </x:c>
      <x:c r="L5" s="8" t="str">
        <x:v>Q4:28</x:v>
      </x:c>
      <x:c r="M5" s="8" t="str">
        <x:v>Q1:29</x:v>
      </x:c>
      <x:c r="N5" s="8" t="str">
        <x:v>Q2:29</x:v>
      </x:c>
      <x:c r="O5" s="8" t="str">
        <x:v>Q3:29</x:v>
      </x:c>
      <x:c r="P5" s="8" t="str">
        <x:v>Q4:29</x:v>
      </x:c>
      <x:c r="Q5" s="8" t="str">
        <x:v>Q1:30</x:v>
      </x:c>
      <x:c r="R5" s="8" t="str">
        <x:v>Q2:30</x:v>
      </x:c>
      <x:c r="S5" s="8" t="str">
        <x:v>Q3:30</x:v>
      </x:c>
      <x:c r="T5" s="8" t="str">
        <x:v>Q4:30</x:v>
      </x:c>
    </x:row>
    <x:row r="6" ht="27" customHeight="1">
      <x:c r="A6" s="2"/>
      <x:c r="B6" s="2"/>
      <x:c r="C6" s="61" t="str">
        <x:v>Profit and loss, EUR</x:v>
      </x:c>
      <x:c r="D6" s="15"/>
      <x:c r="E6" s="15"/>
      <x:c r="F6" s="15"/>
      <x:c r="G6" s="15"/>
      <x:c r="H6" s="15"/>
      <x:c r="I6" s="15"/>
      <x:c r="J6" s="15"/>
      <x:c r="K6" s="15"/>
      <x:c r="L6" s="15"/>
      <x:c r="M6" s="15"/>
      <x:c r="N6" s="15"/>
      <x:c r="O6" s="15"/>
      <x:c r="P6" s="15"/>
      <x:c r="Q6" s="15"/>
      <x:c r="R6" s="15"/>
      <x:c r="S6" s="15"/>
      <x:c r="T6" s="15"/>
    </x:row>
    <x:row r="7" ht="25" customHeight="1">
      <x:c r="A7" s="2"/>
      <x:c r="B7" s="2"/>
      <x:c r="C7" s="32" t="str">
        <x:v>Total revenue, mapping and subscriptions</x:v>
      </x:c>
      <x:c r="D7" s="52" t="n">
        <x:f>'Revenue'!D174</x:f>
        <x:v>0</x:v>
      </x:c>
      <x:c r="E7" s="52" t="n">
        <x:f>'Revenue'!E174</x:f>
        <x:v>87272.3641423091</x:v>
      </x:c>
      <x:c r="F7" s="52" t="n">
        <x:f>'Revenue'!F174</x:f>
        <x:v>337053.5100926495</x:v>
      </x:c>
      <x:c r="G7" s="52" t="n">
        <x:f>'Revenue'!G174</x:f>
        <x:v>330128.1758603449</x:v>
      </x:c>
      <x:c r="H7" s="52" t="n">
        <x:f>'Revenue'!H174</x:f>
        <x:v>416438.97076958546</x:v>
      </x:c>
      <x:c r="I7" s="52" t="n">
        <x:f>'Revenue'!I174</x:f>
        <x:v>616436.7682489867</x:v>
      </x:c>
      <x:c r="J7" s="52" t="n">
        <x:f>'Revenue'!J174</x:f>
        <x:v>1508305.5269711046</x:v>
      </x:c>
      <x:c r="K7" s="52" t="n">
        <x:f>'Revenue'!K174</x:f>
        <x:v>2040904.0616375273</x:v>
      </x:c>
      <x:c r="L7" s="52" t="n">
        <x:f>'Revenue'!L174</x:f>
        <x:v>3087605.895870921</x:v>
      </x:c>
      <x:c r="M7" s="52" t="n">
        <x:f>'Revenue'!M174</x:f>
        <x:v>4845614.928692474</x:v>
      </x:c>
      <x:c r="N7" s="52" t="n">
        <x:f>'Revenue'!N174</x:f>
        <x:v>8665606.748567097</x:v>
      </x:c>
      <x:c r="O7" s="52" t="n">
        <x:f>'Revenue'!O174</x:f>
        <x:v>10965032.131515084</x:v>
      </x:c>
      <x:c r="P7" s="52" t="n">
        <x:f>'Revenue'!P174</x:f>
        <x:v>15237931.737600835</x:v>
      </x:c>
      <x:c r="Q7" s="52" t="n">
        <x:f>'Revenue'!Q174</x:f>
        <x:v>20573348.24093076</x:v>
      </x:c>
      <x:c r="R7" s="52" t="n">
        <x:f>'Revenue'!R174</x:f>
        <x:v>34217296.327759616</x:v>
      </x:c>
      <x:c r="S7" s="52" t="n">
        <x:f>'Revenue'!S174</x:f>
        <x:v>40363011.679263145</x:v>
      </x:c>
      <x:c r="T7" s="52" t="n">
        <x:f>'Revenue'!T174</x:f>
        <x:v>38105573.87375249</x:v>
      </x:c>
    </x:row>
    <x:row r="8" ht="25" customHeight="1">
      <x:c r="A8" s="2"/>
      <x:c r="B8" s="2"/>
      <x:c r="C8" s="32"/>
      <x:c r="D8" s="3"/>
      <x:c r="E8" s="3"/>
      <x:c r="F8" s="3"/>
      <x:c r="G8" s="3"/>
      <x:c r="H8" s="3"/>
      <x:c r="I8" s="3"/>
      <x:c r="J8" s="3"/>
      <x:c r="K8" s="3"/>
      <x:c r="L8" s="3"/>
      <x:c r="M8" s="3"/>
      <x:c r="N8" s="3"/>
      <x:c r="O8" s="3"/>
      <x:c r="P8" s="3"/>
      <x:c r="Q8" s="3"/>
      <x:c r="R8" s="3"/>
      <x:c r="S8" s="3"/>
      <x:c r="T8" s="3"/>
    </x:row>
    <x:row r="9" ht="25" customHeight="1">
      <x:c r="A9" s="2"/>
      <x:c r="B9" s="2"/>
      <x:c r="C9" s="32" t="str">
        <x:v>Initial mapping compute</x:v>
      </x:c>
      <x:c r="D9" s="52" t="n">
        <x:f>'Revenue'!D11*'Compute'!D60</x:f>
        <x:v>0</x:v>
      </x:c>
      <x:c r="E9" s="52" t="n">
        <x:f>'Revenue'!E11*'Compute'!E60</x:f>
        <x:v>15025.199475</x:v>
      </x:c>
      <x:c r="F9" s="52" t="n">
        <x:f>'Revenue'!F11*'Compute'!E60</x:f>
        <x:v>27233.1740484375</x:v>
      </x:c>
      <x:c r="G9" s="52" t="n">
        <x:f>'Revenue'!G11*'Compute'!E60</x:f>
        <x:v>23476.8741796875</x:v>
      </x:c>
      <x:c r="H9" s="52" t="n">
        <x:f>'Revenue'!H11*'Compute'!E60</x:f>
        <x:v>28172.249015625</x:v>
      </x:c>
      <x:c r="I9" s="52" t="n">
        <x:f>'Revenue'!I11*'Compute'!F60</x:f>
        <x:v>63566.60180888672</x:v>
      </x:c>
      <x:c r="J9" s="52" t="n">
        <x:f>'Revenue'!J11*'Compute'!F60</x:f>
        <x:v>94359.15615331054</x:v>
      </x:c>
      <x:c r="K9" s="52" t="n">
        <x:f>'Revenue'!K11*'Compute'!F60</x:f>
        <x:v>115958.9437519043</x:v>
      </x:c>
      <x:c r="L9" s="52" t="n">
        <x:f>'Revenue'!L11*'Compute'!F60</x:f>
        <x:v>176867.16834058595</x:v>
      </x:c>
      <x:c r="M9" s="52" t="n">
        <x:f>'Revenue'!M11*'Compute'!G60</x:f>
        <x:v>279159.78874519543</x:v>
      </x:c>
      <x:c r="N9" s="52" t="n">
        <x:f>'Revenue'!N11*'Compute'!G60</x:f>
        <x:v>463687.3364248125</x:v>
      </x:c>
      <x:c r="O9" s="52" t="n">
        <x:f>'Revenue'!O11*'Compute'!G60</x:f>
        <x:v>563565.9414896877</x:v>
      </x:c>
      <x:c r="P9" s="52" t="n">
        <x:f>'Revenue'!P11*'Compute'!G60</x:f>
        <x:v>775731.9429916878</x:v>
      </x:c>
      <x:c r="Q9" s="52" t="n">
        <x:f>'Revenue'!Q11*'Compute'!H60</x:f>
        <x:v>1255624.1187895625</x:v>
      </x:c>
      <x:c r="R9" s="52" t="n">
        <x:f>'Revenue'!R11*'Compute'!H60</x:f>
        <x:v>1786322.2644603208</x:v>
      </x:c>
      <x:c r="S9" s="52" t="n">
        <x:f>'Revenue'!S11*'Compute'!H60</x:f>
        <x:v>2008803.421665258</x:v>
      </x:c>
      <x:c r="T9" s="52" t="n">
        <x:f>'Revenue'!T11*'Compute'!H60</x:f>
        <x:v>1683583.2683050476</x:v>
      </x:c>
    </x:row>
    <x:row r="10" ht="25" customHeight="1">
      <x:c r="A10" s="2"/>
      <x:c r="B10" s="2"/>
      <x:c r="C10" s="32" t="str">
        <x:v>Recurring tenant compute and infrastructure</x:v>
      </x:c>
      <x:c r="D10" s="52" t="n">
        <x:f>'Revenue'!D24</x:f>
        <x:v>0</x:v>
      </x:c>
      <x:c r="E10" s="52" t="n">
        <x:f>'Revenue'!E24</x:f>
        <x:v>2069.79249225</x:v>
      </x:c>
      <x:c r="F10" s="52" t="n">
        <x:f>'Revenue'!F24</x:f>
        <x:v>5821.291384453125</x:v>
      </x:c>
      <x:c r="G10" s="52" t="n">
        <x:f>'Revenue'!G24</x:f>
        <x:v>9055.34215359375</x:v>
      </x:c>
      <x:c r="H10" s="52" t="n">
        <x:f>'Revenue'!H24</x:f>
        <x:v>12936.2030765625</x:v>
      </x:c>
      <x:c r="I10" s="52" t="n">
        <x:f>'Revenue'!I24</x:f>
        <x:v>20298.876924270568</x:v>
      </x:c>
      <x:c r="J10" s="52" t="n">
        <x:f>'Revenue'!J24</x:f>
        <x:v>30780.69544794145</x:v>
      </x:c>
      <x:c r="K10" s="52" t="n">
        <x:f>'Revenue'!K24</x:f>
        <x:v>43743.60244709496</x:v>
      </x:c>
      <x:c r="L10" s="52" t="n">
        <x:f>'Revenue'!L24</x:f>
        <x:v>63577.80533790402</x:v>
      </x:c>
      <x:c r="M10" s="52" t="n">
        <x:f>'Revenue'!M24</x:f>
        <x:v>98083.32099125504</x:v>
      </x:c>
      <x:c r="N10" s="52" t="n">
        <x:f>'Revenue'!N24</x:f>
        <x:v>153510.5569259415</x:v>
      </x:c>
      <x:c r="O10" s="52" t="n">
        <x:f>'Revenue'!O24</x:f>
        <x:v>220935.9849146923</x:v>
      </x:c>
      <x:c r="P10" s="52" t="n">
        <x:f>'Revenue'!P24</x:f>
        <x:v>313713.82746822655</x:v>
      </x:c>
      <x:c r="Q10" s="52" t="n">
        <x:f>'Revenue'!Q24</x:f>
        <x:v>457638.6453725784</x:v>
      </x:c>
      <x:c r="R10" s="52" t="n">
        <x:f>'Revenue'!R24</x:f>
        <x:v>657317.7037774724</x:v>
      </x:c>
      <x:c r="S10" s="52" t="n">
        <x:f>'Revenue'!S24</x:f>
        <x:v>881712.7032936403</x:v>
      </x:c>
      <x:c r="T10" s="52" t="n">
        <x:f>'Revenue'!T24</x:f>
        <x:v>1068153.9499175586</x:v>
      </x:c>
    </x:row>
    <x:row r="11" ht="25" customHeight="1">
      <x:c r="A11" s="2"/>
      <x:c r="B11" s="2"/>
      <x:c r="C11" s="32" t="str">
        <x:v>Shared production infrastructure</x:v>
      </x:c>
      <x:c r="D11" s="52" t="n">
        <x:f>'Inputs'!D169*3</x:f>
        <x:v>3000</x:v>
      </x:c>
      <x:c r="E11" s="52" t="n">
        <x:f>'Inputs'!E169*3</x:f>
        <x:v>15000</x:v>
      </x:c>
      <x:c r="F11" s="52" t="n">
        <x:f>'Inputs'!E169*3</x:f>
        <x:v>15000</x:v>
      </x:c>
      <x:c r="G11" s="52" t="n">
        <x:f>'Inputs'!E169*3</x:f>
        <x:v>15000</x:v>
      </x:c>
      <x:c r="H11" s="52" t="n">
        <x:f>'Inputs'!E169*3</x:f>
        <x:v>15000</x:v>
      </x:c>
      <x:c r="I11" s="52" t="n">
        <x:f>'Inputs'!F169*3</x:f>
        <x:v>45000</x:v>
      </x:c>
      <x:c r="J11" s="52" t="n">
        <x:f>'Inputs'!F169*3</x:f>
        <x:v>45000</x:v>
      </x:c>
      <x:c r="K11" s="52" t="n">
        <x:f>'Inputs'!F169*3</x:f>
        <x:v>45000</x:v>
      </x:c>
      <x:c r="L11" s="52" t="n">
        <x:f>'Inputs'!F169*3</x:f>
        <x:v>45000</x:v>
      </x:c>
      <x:c r="M11" s="52" t="n">
        <x:f>'Inputs'!G169*3</x:f>
        <x:v>120000</x:v>
      </x:c>
      <x:c r="N11" s="52" t="n">
        <x:f>'Inputs'!G169*3</x:f>
        <x:v>120000</x:v>
      </x:c>
      <x:c r="O11" s="52" t="n">
        <x:f>'Inputs'!G169*3</x:f>
        <x:v>120000</x:v>
      </x:c>
      <x:c r="P11" s="52" t="n">
        <x:f>'Inputs'!G169*3</x:f>
        <x:v>120000</x:v>
      </x:c>
      <x:c r="Q11" s="52" t="n">
        <x:f>'Inputs'!H169*3</x:f>
        <x:v>300000</x:v>
      </x:c>
      <x:c r="R11" s="52" t="n">
        <x:f>'Inputs'!H169*3</x:f>
        <x:v>300000</x:v>
      </x:c>
      <x:c r="S11" s="52" t="n">
        <x:f>'Inputs'!H169*3</x:f>
        <x:v>300000</x:v>
      </x:c>
      <x:c r="T11" s="52" t="n">
        <x:f>'Inputs'!H169*3</x:f>
        <x:v>300000</x:v>
      </x:c>
    </x:row>
    <x:row r="12" ht="25" customHeight="1">
      <x:c r="A12" s="2"/>
      <x:c r="B12" s="2"/>
      <x:c r="C12" s="32" t="str">
        <x:v>Internal delivery payroll</x:v>
      </x:c>
      <x:c r="D12" s="52" t="n">
        <x:f>'People'!D30</x:f>
        <x:v>11250</x:v>
      </x:c>
      <x:c r="E12" s="52" t="n">
        <x:f>'People'!E30</x:f>
        <x:v>60834.375</x:v>
      </x:c>
      <x:c r="F12" s="52" t="n">
        <x:f>'People'!F30</x:f>
        <x:v>136153.125</x:v>
      </x:c>
      <x:c r="G12" s="52" t="n">
        <x:f>'People'!G30</x:f>
        <x:v>211471.875</x:v>
      </x:c>
      <x:c r="H12" s="52" t="n">
        <x:f>'People'!H30</x:f>
        <x:v>286790.625</x:v>
      </x:c>
      <x:c r="I12" s="52" t="n">
        <x:f>'People'!I30</x:f>
        <x:v>411761.8125</x:v>
      </x:c>
      <x:c r="J12" s="52" t="n">
        <x:f>'People'!J30</x:f>
        <x:v>566918.4375</x:v>
      </x:c>
      <x:c r="K12" s="52" t="n">
        <x:f>'People'!K30</x:f>
        <x:v>722075.0625</x:v>
      </x:c>
      <x:c r="L12" s="52" t="n">
        <x:f>'People'!L30</x:f>
        <x:v>877231.6875</x:v>
      </x:c>
      <x:c r="M12" s="52" t="n">
        <x:f>'People'!M30</x:f>
        <x:v>1167851.9812500002</x:v>
      </x:c>
      <x:c r="N12" s="52" t="n">
        <x:f>'People'!N30</x:f>
        <x:v>1536647.3437500002</x:v>
      </x:c>
      <x:c r="O12" s="52" t="n">
        <x:f>'People'!O30</x:f>
        <x:v>1905442.70625</x:v>
      </x:c>
      <x:c r="P12" s="52" t="n">
        <x:f>'People'!P30</x:f>
        <x:v>2274238.06875</x:v>
      </x:c>
      <x:c r="Q12" s="52" t="n">
        <x:f>'People'!Q30</x:f>
        <x:v>2848944.1753125004</x:v>
      </x:c>
      <x:c r="R12" s="52" t="n">
        <x:f>'People'!R30</x:f>
        <x:v>3482042.8809375004</x:v>
      </x:c>
      <x:c r="S12" s="52" t="n">
        <x:f>'People'!S30</x:f>
        <x:v>4115141.586562501</x:v>
      </x:c>
      <x:c r="T12" s="52" t="n">
        <x:f>'People'!T30</x:f>
        <x:v>4748240.292187501</x:v>
      </x:c>
    </x:row>
    <x:row r="13" ht="25" customHeight="1">
      <x:c r="A13" s="2"/>
      <x:c r="B13" s="2"/>
      <x:c r="C13" s="32" t="str">
        <x:v>External implementation and support</x:v>
      </x:c>
      <x:c r="D13" s="52" t="n">
        <x:f>'Sales'!D40+'People'!D42</x:f>
        <x:v>0</x:v>
      </x:c>
      <x:c r="E13" s="52" t="n">
        <x:f>'Sales'!E40+'People'!E42</x:f>
        <x:v>0</x:v>
      </x:c>
      <x:c r="F13" s="52" t="n">
        <x:f>'Sales'!F40+'People'!F42</x:f>
        <x:v>0</x:v>
      </x:c>
      <x:c r="G13" s="52" t="n">
        <x:f>'Sales'!G40+'People'!G42</x:f>
        <x:v>0</x:v>
      </x:c>
      <x:c r="H13" s="52" t="n">
        <x:f>'Sales'!H40+'People'!H42</x:f>
        <x:v>0</x:v>
      </x:c>
      <x:c r="I13" s="52" t="n">
        <x:f>'Sales'!I40+'People'!I42</x:f>
        <x:v>0</x:v>
      </x:c>
      <x:c r="J13" s="52" t="n">
        <x:f>'Sales'!J40+'People'!J42</x:f>
        <x:v>0</x:v>
      </x:c>
      <x:c r="K13" s="52" t="n">
        <x:f>'Sales'!K40+'People'!K42</x:f>
        <x:v>0</x:v>
      </x:c>
      <x:c r="L13" s="52" t="n">
        <x:f>'Sales'!L40+'People'!L42</x:f>
        <x:v>0</x:v>
      </x:c>
      <x:c r="M13" s="52" t="n">
        <x:f>'Sales'!M40+'People'!M42</x:f>
        <x:v>0</x:v>
      </x:c>
      <x:c r="N13" s="52" t="n">
        <x:f>'Sales'!N40+'People'!N42</x:f>
        <x:v>0</x:v>
      </x:c>
      <x:c r="O13" s="52" t="n">
        <x:f>'Sales'!O40+'People'!O42</x:f>
        <x:v>0</x:v>
      </x:c>
      <x:c r="P13" s="52" t="n">
        <x:f>'Sales'!P40+'People'!P42</x:f>
        <x:v>0</x:v>
      </x:c>
      <x:c r="Q13" s="52" t="n">
        <x:f>'Sales'!Q40+'People'!Q42</x:f>
        <x:v>0</x:v>
      </x:c>
      <x:c r="R13" s="52" t="n">
        <x:f>'Sales'!R40+'People'!R42</x:f>
        <x:v>0</x:v>
      </x:c>
      <x:c r="S13" s="52" t="n">
        <x:f>'Sales'!S40+'People'!S42</x:f>
        <x:v>0</x:v>
      </x:c>
      <x:c r="T13" s="52" t="n">
        <x:f>'Sales'!T40+'People'!T42</x:f>
        <x:v>0</x:v>
      </x:c>
    </x:row>
    <x:row r="14" ht="25" customHeight="1">
      <x:c r="A14" s="2"/>
      <x:c r="B14" s="2"/>
      <x:c r="C14" s="60" t="str">
        <x:v>Total cost of revenue</x:v>
      </x:c>
      <x:c r="D14" s="40" t="n">
        <x:f>SUM(D9:D13)</x:f>
        <x:v>14250</x:v>
      </x:c>
      <x:c r="E14" s="40" t="n">
        <x:f>SUM(E9:E13)</x:f>
        <x:v>92929.36696725</x:v>
      </x:c>
      <x:c r="F14" s="40" t="n">
        <x:f>SUM(F9:F13)</x:f>
        <x:v>184207.59043289063</x:v>
      </x:c>
      <x:c r="G14" s="40" t="n">
        <x:f>SUM(G9:G13)</x:f>
        <x:v>259004.09133328125</x:v>
      </x:c>
      <x:c r="H14" s="40" t="n">
        <x:f>SUM(H9:H13)</x:f>
        <x:v>342899.0770921875</x:v>
      </x:c>
      <x:c r="I14" s="40" t="n">
        <x:f>SUM(I9:I13)</x:f>
        <x:v>540627.2912331573</x:v>
      </x:c>
      <x:c r="J14" s="40" t="n">
        <x:f>SUM(J9:J13)</x:f>
        <x:v>737058.289101252</x:v>
      </x:c>
      <x:c r="K14" s="40" t="n">
        <x:f>SUM(K9:K13)</x:f>
        <x:v>926777.6086989993</x:v>
      </x:c>
      <x:c r="L14" s="40" t="n">
        <x:f>SUM(L9:L13)</x:f>
        <x:v>1162676.66117849</x:v>
      </x:c>
      <x:c r="M14" s="40" t="n">
        <x:f>SUM(M9:M13)</x:f>
        <x:v>1665095.0909864507</x:v>
      </x:c>
      <x:c r="N14" s="40" t="n">
        <x:f>SUM(N9:N13)</x:f>
        <x:v>2273845.237100754</x:v>
      </x:c>
      <x:c r="O14" s="40" t="n">
        <x:f>SUM(O9:O13)</x:f>
        <x:v>2809944.63265438</x:v>
      </x:c>
      <x:c r="P14" s="40" t="n">
        <x:f>SUM(P9:P13)</x:f>
        <x:v>3483683.839209914</x:v>
      </x:c>
      <x:c r="Q14" s="40" t="n">
        <x:f>SUM(Q9:Q13)</x:f>
        <x:v>4862206.939474641</x:v>
      </x:c>
      <x:c r="R14" s="40" t="n">
        <x:f>SUM(R9:R13)</x:f>
        <x:v>6225682.849175293</x:v>
      </x:c>
      <x:c r="S14" s="40" t="n">
        <x:f>SUM(S9:S13)</x:f>
        <x:v>7305657.711521399</x:v>
      </x:c>
      <x:c r="T14" s="40" t="n">
        <x:f>SUM(T9:T13)</x:f>
        <x:v>7799977.510410107</x:v>
      </x:c>
    </x:row>
    <x:row r="15" ht="25" customHeight="1">
      <x:c r="A15" s="2"/>
      <x:c r="B15" s="2"/>
      <x:c r="C15" s="60" t="str">
        <x:v>Gross profit</x:v>
      </x:c>
      <x:c r="D15" s="40" t="n">
        <x:f>D7-D14</x:f>
        <x:v>-14250</x:v>
      </x:c>
      <x:c r="E15" s="40" t="n">
        <x:f>E7-E14</x:f>
        <x:v>-5657.002824940893</x:v>
      </x:c>
      <x:c r="F15" s="40" t="n">
        <x:f>F7-F14</x:f>
        <x:v>152845.91965975886</x:v>
      </x:c>
      <x:c r="G15" s="40" t="n">
        <x:f>G7-G14</x:f>
        <x:v>71124.08452706365</x:v>
      </x:c>
      <x:c r="H15" s="40" t="n">
        <x:f>H7-H14</x:f>
        <x:v>73539.89367739798</x:v>
      </x:c>
      <x:c r="I15" s="40" t="n">
        <x:f>I7-I14</x:f>
        <x:v>75809.47701582941</x:v>
      </x:c>
      <x:c r="J15" s="40" t="n">
        <x:f>J7-J14</x:f>
        <x:v>771247.2378698526</x:v>
      </x:c>
      <x:c r="K15" s="40" t="n">
        <x:f>K7-K14</x:f>
        <x:v>1114126.452938528</x:v>
      </x:c>
      <x:c r="L15" s="40" t="n">
        <x:f>L7-L14</x:f>
        <x:v>1924929.2346924313</x:v>
      </x:c>
      <x:c r="M15" s="40" t="n">
        <x:f>M7-M14</x:f>
        <x:v>3180519.8377060234</x:v>
      </x:c>
      <x:c r="N15" s="40" t="n">
        <x:f>N7-N14</x:f>
        <x:v>6391761.511466343</x:v>
      </x:c>
      <x:c r="O15" s="40" t="n">
        <x:f>O7-O14</x:f>
        <x:v>8155087.498860704</x:v>
      </x:c>
      <x:c r="P15" s="40" t="n">
        <x:f>P7-P14</x:f>
        <x:v>11754247.89839092</x:v>
      </x:c>
      <x:c r="Q15" s="40" t="n">
        <x:f>Q7-Q14</x:f>
        <x:v>15711141.301456116</x:v>
      </x:c>
      <x:c r="R15" s="40" t="n">
        <x:f>R7-R14</x:f>
        <x:v>27991613.478584323</x:v>
      </x:c>
      <x:c r="S15" s="40" t="n">
        <x:f>S7-S14</x:f>
        <x:v>33057353.967741746</x:v>
      </x:c>
      <x:c r="T15" s="40" t="n">
        <x:f>T7-T14</x:f>
        <x:v>30305596.363342382</x:v>
      </x:c>
    </x:row>
    <x:row r="16" ht="25" customHeight="1">
      <x:c r="A16" s="2"/>
      <x:c r="B16" s="2"/>
      <x:c r="C16" s="32" t="str">
        <x:v>Gross margin</x:v>
      </x:c>
      <x:c r="D16" s="23" t="n">
        <x:f>IF(D7=0,0,D15/D7)</x:f>
        <x:v>0</x:v>
      </x:c>
      <x:c r="E16" s="23" t="n">
        <x:f>IF(E7=0,0,E15/E7)</x:f>
        <x:v>-0.06482009374372401</x:v>
      </x:c>
      <x:c r="F16" s="23" t="n">
        <x:f>IF(F7=0,0,F15/F7)</x:f>
        <x:v>0.45347671833396563</x:v>
      </x:c>
      <x:c r="G16" s="23" t="n">
        <x:f>IF(G7=0,0,G15/G7)</x:f>
        <x:v>0.2154438479590772</x:v>
      </x:c>
      <x:c r="H16" s="23" t="n">
        <x:f>IF(H7=0,0,H15/H7)</x:f>
        <x:v>0.17659224721811015</x:v>
      </x:c>
      <x:c r="I16" s="23" t="n">
        <x:f>IF(I7=0,0,I15/I7)</x:f>
        <x:v>0.12298013506100433</x:v>
      </x:c>
      <x:c r="J16" s="23" t="n">
        <x:f>IF(J7=0,0,J15/J7)</x:f>
        <x:v>0.5113335621189617</x:v>
      </x:c>
      <x:c r="K16" s="23" t="n">
        <x:f>IF(K7=0,0,K15/K7)</x:f>
        <x:v>0.5458984936531531</x:v>
      </x:c>
      <x:c r="L16" s="23" t="n">
        <x:f>IF(L7=0,0,L15/L7)</x:f>
        <x:v>0.6234374786194876</x:v>
      </x:c>
      <x:c r="M16" s="23" t="n">
        <x:f>IF(M7=0,0,M15/M7)</x:f>
        <x:v>0.6563707361212553</x:v>
      </x:c>
      <x:c r="N16" s="23" t="n">
        <x:f>IF(N7=0,0,N15/N7)</x:f>
        <x:v>0.7376011509549812</x:v>
      </x:c>
      <x:c r="O16" s="23" t="n">
        <x:f>IF(O7=0,0,O15/O7)</x:f>
        <x:v>0.7437358505700868</x:v>
      </x:c>
      <x:c r="P16" s="23" t="n">
        <x:f>IF(P7=0,0,P15/P7)</x:f>
        <x:v>0.771380795031806</x:v>
      </x:c>
      <x:c r="Q16" s="23" t="n">
        <x:f>IF(Q7=0,0,Q15/Q7)</x:f>
        <x:v>0.7636647723776306</x:v>
      </x:c>
      <x:c r="R16" s="23" t="n">
        <x:f>IF(R7=0,0,R15/R7)</x:f>
        <x:v>0.8180545070089434</x:v>
      </x:c>
      <x:c r="S16" s="23" t="n">
        <x:f>IF(S7=0,0,S15/S7)</x:f>
        <x:v>0.8190011744025845</x:v>
      </x:c>
      <x:c r="T16" s="23" t="n">
        <x:f>IF(T7=0,0,T15/T7)</x:f>
        <x:v>0.7953061267033479</x:v>
      </x:c>
    </x:row>
    <x:row r="17" ht="25" customHeight="1">
      <x:c r="A17" s="2"/>
      <x:c r="B17" s="2"/>
      <x:c r="C17" s="32"/>
      <x:c r="D17" s="3"/>
      <x:c r="E17" s="3"/>
      <x:c r="F17" s="3"/>
      <x:c r="G17" s="3"/>
      <x:c r="H17" s="3"/>
      <x:c r="I17" s="3"/>
      <x:c r="J17" s="3"/>
      <x:c r="K17" s="3"/>
      <x:c r="L17" s="3"/>
      <x:c r="M17" s="3"/>
      <x:c r="N17" s="3"/>
      <x:c r="O17" s="3"/>
      <x:c r="P17" s="3"/>
      <x:c r="Q17" s="3"/>
      <x:c r="R17" s="3"/>
      <x:c r="S17" s="3"/>
      <x:c r="T17" s="3"/>
    </x:row>
    <x:row r="18" ht="25" customHeight="1">
      <x:c r="A18" s="2"/>
      <x:c r="B18" s="2"/>
      <x:c r="C18" s="32" t="str">
        <x:v>Product and engineering payroll</x:v>
      </x:c>
      <x:c r="D18" s="52" t="n">
        <x:f>'People'!D28</x:f>
        <x:v>65000</x:v>
      </x:c>
      <x:c r="E18" s="52" t="n">
        <x:f>'People'!E28</x:f>
        <x:v>188296.875</x:v>
      </x:c>
      <x:c r="F18" s="52" t="n">
        <x:f>'People'!F28</x:f>
        <x:v>297090.625</x:v>
      </x:c>
      <x:c r="G18" s="52" t="n">
        <x:f>'People'!G28</x:f>
        <x:v>405884.375</x:v>
      </x:c>
      <x:c r="H18" s="52" t="n">
        <x:f>'People'!H28</x:f>
        <x:v>514678.125</x:v>
      </x:c>
      <x:c r="I18" s="52" t="n">
        <x:f>'People'!I28</x:f>
        <x:v>685275.09375</x:v>
      </x:c>
      <x:c r="J18" s="52" t="n">
        <x:f>'People'!J28</x:f>
        <x:v>883530.78125</x:v>
      </x:c>
      <x:c r="K18" s="52" t="n">
        <x:f>'People'!K28</x:f>
        <x:v>1081786.46875</x:v>
      </x:c>
      <x:c r="L18" s="52" t="n">
        <x:f>'People'!L28</x:f>
        <x:v>1280042.15625</x:v>
      </x:c>
      <x:c r="M18" s="52" t="n">
        <x:f>'People'!M28</x:f>
        <x:v>1620309.2546875002</x:v>
      </x:c>
      <x:c r="N18" s="52" t="n">
        <x:f>'People'!N28</x:f>
        <x:v>2019837.5640625001</x:v>
      </x:c>
      <x:c r="O18" s="52" t="n">
        <x:f>'People'!O28</x:f>
        <x:v>2419365.8734375</x:v>
      </x:c>
      <x:c r="P18" s="52" t="n">
        <x:f>'People'!P28</x:f>
        <x:v>2818894.1828125003</x:v>
      </x:c>
      <x:c r="Q18" s="52" t="n">
        <x:f>'People'!Q28</x:f>
        <x:v>3360698.962359375</x:v>
      </x:c>
      <x:c r="R18" s="52" t="n">
        <x:f>'People'!R28</x:f>
        <x:v>3863660.711828125</x:v>
      </x:c>
      <x:c r="S18" s="52" t="n">
        <x:f>'People'!S28</x:f>
        <x:v>4366622.461296875</x:v>
      </x:c>
      <x:c r="T18" s="52" t="n">
        <x:f>'People'!T28</x:f>
        <x:v>4869584.210765625</x:v>
      </x:c>
    </x:row>
    <x:row r="19" ht="25" customHeight="1">
      <x:c r="A19" s="2"/>
      <x:c r="B19" s="2"/>
      <x:c r="C19" s="32" t="str">
        <x:v>Shared model training compute</x:v>
      </x:c>
      <x:c r="D19" s="52" t="n">
        <x:f>'Compute'!D75/1</x:f>
        <x:v>9703.98</x:v>
      </x:c>
      <x:c r="E19" s="52" t="n">
        <x:f>'Compute'!E75/4</x:f>
        <x:v>24259.95</x:v>
      </x:c>
      <x:c r="F19" s="52" t="n">
        <x:f>'Compute'!E75/4</x:f>
        <x:v>24259.95</x:v>
      </x:c>
      <x:c r="G19" s="52" t="n">
        <x:f>'Compute'!E75/4</x:f>
        <x:v>24259.95</x:v>
      </x:c>
      <x:c r="H19" s="52" t="n">
        <x:f>'Compute'!E75/4</x:f>
        <x:v>24259.95</x:v>
      </x:c>
      <x:c r="I19" s="52" t="n">
        <x:f>'Compute'!F75/4</x:f>
        <x:v>72779.85</x:v>
      </x:c>
      <x:c r="J19" s="52" t="n">
        <x:f>'Compute'!F75/4</x:f>
        <x:v>72779.85</x:v>
      </x:c>
      <x:c r="K19" s="52" t="n">
        <x:f>'Compute'!F75/4</x:f>
        <x:v>72779.85</x:v>
      </x:c>
      <x:c r="L19" s="52" t="n">
        <x:f>'Compute'!F75/4</x:f>
        <x:v>72779.85</x:v>
      </x:c>
      <x:c r="M19" s="52" t="n">
        <x:f>'Compute'!G75/4</x:f>
        <x:v>181949.625</x:v>
      </x:c>
      <x:c r="N19" s="52" t="n">
        <x:f>'Compute'!G75/4</x:f>
        <x:v>181949.625</x:v>
      </x:c>
      <x:c r="O19" s="52" t="n">
        <x:f>'Compute'!G75/4</x:f>
        <x:v>181949.625</x:v>
      </x:c>
      <x:c r="P19" s="52" t="n">
        <x:f>'Compute'!G75/4</x:f>
        <x:v>181949.625</x:v>
      </x:c>
      <x:c r="Q19" s="52" t="n">
        <x:f>'Compute'!H75/4</x:f>
        <x:v>363899.25</x:v>
      </x:c>
      <x:c r="R19" s="52" t="n">
        <x:f>'Compute'!H75/4</x:f>
        <x:v>363899.25</x:v>
      </x:c>
      <x:c r="S19" s="52" t="n">
        <x:f>'Compute'!H75/4</x:f>
        <x:v>363899.25</x:v>
      </x:c>
      <x:c r="T19" s="52" t="n">
        <x:f>'Compute'!H75/4</x:f>
        <x:v>363899.25</x:v>
      </x:c>
    </x:row>
    <x:row r="20" ht="25" customHeight="1">
      <x:c r="A20" s="2"/>
      <x:c r="B20" s="2"/>
      <x:c r="C20" s="32" t="str">
        <x:v>Purchased data and evaluation</x:v>
      </x:c>
      <x:c r="D20" s="52" t="n">
        <x:f>'Compute'!D76/1</x:f>
        <x:v>50000</x:v>
      </x:c>
      <x:c r="E20" s="52" t="n">
        <x:f>'Compute'!E76/4</x:f>
        <x:v>37500</x:v>
      </x:c>
      <x:c r="F20" s="52" t="n">
        <x:f>'Compute'!E76/4</x:f>
        <x:v>37500</x:v>
      </x:c>
      <x:c r="G20" s="52" t="n">
        <x:f>'Compute'!E76/4</x:f>
        <x:v>37500</x:v>
      </x:c>
      <x:c r="H20" s="52" t="n">
        <x:f>'Compute'!E76/4</x:f>
        <x:v>37500</x:v>
      </x:c>
      <x:c r="I20" s="52" t="n">
        <x:f>'Compute'!F76/4</x:f>
        <x:v>100000</x:v>
      </x:c>
      <x:c r="J20" s="52" t="n">
        <x:f>'Compute'!F76/4</x:f>
        <x:v>100000</x:v>
      </x:c>
      <x:c r="K20" s="52" t="n">
        <x:f>'Compute'!F76/4</x:f>
        <x:v>100000</x:v>
      </x:c>
      <x:c r="L20" s="52" t="n">
        <x:f>'Compute'!F76/4</x:f>
        <x:v>100000</x:v>
      </x:c>
      <x:c r="M20" s="52" t="n">
        <x:f>'Compute'!G76/4</x:f>
        <x:v>225000</x:v>
      </x:c>
      <x:c r="N20" s="52" t="n">
        <x:f>'Compute'!G76/4</x:f>
        <x:v>225000</x:v>
      </x:c>
      <x:c r="O20" s="52" t="n">
        <x:f>'Compute'!G76/4</x:f>
        <x:v>225000</x:v>
      </x:c>
      <x:c r="P20" s="52" t="n">
        <x:f>'Compute'!G76/4</x:f>
        <x:v>225000</x:v>
      </x:c>
      <x:c r="Q20" s="52" t="n">
        <x:f>'Compute'!H76/4</x:f>
        <x:v>450000</x:v>
      </x:c>
      <x:c r="R20" s="52" t="n">
        <x:f>'Compute'!H76/4</x:f>
        <x:v>450000</x:v>
      </x:c>
      <x:c r="S20" s="52" t="n">
        <x:f>'Compute'!H76/4</x:f>
        <x:v>450000</x:v>
      </x:c>
      <x:c r="T20" s="52" t="n">
        <x:f>'Compute'!H76/4</x:f>
        <x:v>450000</x:v>
      </x:c>
    </x:row>
    <x:row r="21" ht="25" customHeight="1">
      <x:c r="A21" s="2"/>
      <x:c r="B21" s="2"/>
      <x:c r="C21" s="32" t="str">
        <x:v>External product specialists</x:v>
      </x:c>
      <x:c r="D21" s="52" t="n">
        <x:f>'Inputs'!D135/1</x:f>
        <x:v>60000</x:v>
      </x:c>
      <x:c r="E21" s="52" t="n">
        <x:f>'Inputs'!E135/4</x:f>
        <x:v>62500</x:v>
      </x:c>
      <x:c r="F21" s="52" t="n">
        <x:f>'Inputs'!E135/4</x:f>
        <x:v>62500</x:v>
      </x:c>
      <x:c r="G21" s="52" t="n">
        <x:f>'Inputs'!E135/4</x:f>
        <x:v>62500</x:v>
      </x:c>
      <x:c r="H21" s="52" t="n">
        <x:f>'Inputs'!E135/4</x:f>
        <x:v>62500</x:v>
      </x:c>
      <x:c r="I21" s="52" t="n">
        <x:f>'Inputs'!F135/4</x:f>
        <x:v>150000</x:v>
      </x:c>
      <x:c r="J21" s="52" t="n">
        <x:f>'Inputs'!F135/4</x:f>
        <x:v>150000</x:v>
      </x:c>
      <x:c r="K21" s="52" t="n">
        <x:f>'Inputs'!F135/4</x:f>
        <x:v>150000</x:v>
      </x:c>
      <x:c r="L21" s="52" t="n">
        <x:f>'Inputs'!F135/4</x:f>
        <x:v>150000</x:v>
      </x:c>
      <x:c r="M21" s="52" t="n">
        <x:f>'Inputs'!G135/4</x:f>
        <x:v>375000</x:v>
      </x:c>
      <x:c r="N21" s="52" t="n">
        <x:f>'Inputs'!G135/4</x:f>
        <x:v>375000</x:v>
      </x:c>
      <x:c r="O21" s="52" t="n">
        <x:f>'Inputs'!G135/4</x:f>
        <x:v>375000</x:v>
      </x:c>
      <x:c r="P21" s="52" t="n">
        <x:f>'Inputs'!G135/4</x:f>
        <x:v>375000</x:v>
      </x:c>
      <x:c r="Q21" s="52" t="n">
        <x:f>'Inputs'!H135/4</x:f>
        <x:v>750000</x:v>
      </x:c>
      <x:c r="R21" s="52" t="n">
        <x:f>'Inputs'!H135/4</x:f>
        <x:v>750000</x:v>
      </x:c>
      <x:c r="S21" s="52" t="n">
        <x:f>'Inputs'!H135/4</x:f>
        <x:v>750000</x:v>
      </x:c>
      <x:c r="T21" s="52" t="n">
        <x:f>'Inputs'!H135/4</x:f>
        <x:v>750000</x:v>
      </x:c>
    </x:row>
    <x:row r="22" ht="25" customHeight="1">
      <x:c r="A22" s="2"/>
      <x:c r="B22" s="2"/>
      <x:c r="C22" s="60" t="str">
        <x:v>Total product and AI development</x:v>
      </x:c>
      <x:c r="D22" s="40" t="n">
        <x:f>SUM(D18:D21)</x:f>
        <x:v>184703.97999999998</x:v>
      </x:c>
      <x:c r="E22" s="40" t="n">
        <x:f>SUM(E18:E21)</x:f>
        <x:v>312556.825</x:v>
      </x:c>
      <x:c r="F22" s="40" t="n">
        <x:f>SUM(F18:F21)</x:f>
        <x:v>421350.575</x:v>
      </x:c>
      <x:c r="G22" s="40" t="n">
        <x:f>SUM(G18:G21)</x:f>
        <x:v>530144.325</x:v>
      </x:c>
      <x:c r="H22" s="40" t="n">
        <x:f>SUM(H18:H21)</x:f>
        <x:v>638938.075</x:v>
      </x:c>
      <x:c r="I22" s="40" t="n">
        <x:f>SUM(I18:I21)</x:f>
        <x:v>1008054.94375</x:v>
      </x:c>
      <x:c r="J22" s="40" t="n">
        <x:f>SUM(J18:J21)</x:f>
        <x:v>1206310.63125</x:v>
      </x:c>
      <x:c r="K22" s="40" t="n">
        <x:f>SUM(K18:K21)</x:f>
        <x:v>1404566.31875</x:v>
      </x:c>
      <x:c r="L22" s="40" t="n">
        <x:f>SUM(L18:L21)</x:f>
        <x:v>1602822.00625</x:v>
      </x:c>
      <x:c r="M22" s="40" t="n">
        <x:f>SUM(M18:M21)</x:f>
        <x:v>2402258.8796875</x:v>
      </x:c>
      <x:c r="N22" s="40" t="n">
        <x:f>SUM(N18:N21)</x:f>
        <x:v>2801787.1890625004</x:v>
      </x:c>
      <x:c r="O22" s="40" t="n">
        <x:f>SUM(O18:O21)</x:f>
        <x:v>3201315.4984375</x:v>
      </x:c>
      <x:c r="P22" s="40" t="n">
        <x:f>SUM(P18:P21)</x:f>
        <x:v>3600843.8078125003</x:v>
      </x:c>
      <x:c r="Q22" s="40" t="n">
        <x:f>SUM(Q18:Q21)</x:f>
        <x:v>4924598.212359374</x:v>
      </x:c>
      <x:c r="R22" s="40" t="n">
        <x:f>SUM(R18:R21)</x:f>
        <x:v>5427559.961828126</x:v>
      </x:c>
      <x:c r="S22" s="40" t="n">
        <x:f>SUM(S18:S21)</x:f>
        <x:v>5930521.711296875</x:v>
      </x:c>
      <x:c r="T22" s="40" t="n">
        <x:f>SUM(T18:T21)</x:f>
        <x:v>6433483.460765625</x:v>
      </x:c>
    </x:row>
    <x:row r="23" ht="25" customHeight="1">
      <x:c r="A23" s="2"/>
      <x:c r="B23" s="2"/>
      <x:c r="C23" s="32"/>
      <x:c r="D23" s="3"/>
      <x:c r="E23" s="3"/>
      <x:c r="F23" s="3"/>
      <x:c r="G23" s="3"/>
      <x:c r="H23" s="3"/>
      <x:c r="I23" s="3"/>
      <x:c r="J23" s="3"/>
      <x:c r="K23" s="3"/>
      <x:c r="L23" s="3"/>
      <x:c r="M23" s="3"/>
      <x:c r="N23" s="3"/>
      <x:c r="O23" s="3"/>
      <x:c r="P23" s="3"/>
      <x:c r="Q23" s="3"/>
      <x:c r="R23" s="3"/>
      <x:c r="S23" s="3"/>
      <x:c r="T23" s="3"/>
    </x:row>
    <x:row r="24" ht="25" customHeight="1">
      <x:c r="A24" s="2"/>
      <x:c r="B24" s="2"/>
      <x:c r="C24" s="32" t="str">
        <x:v>Sales and marketing fixed payroll</x:v>
      </x:c>
      <x:c r="D24" s="52" t="n">
        <x:f>'People'!D29</x:f>
        <x:v>12500</x:v>
      </x:c>
      <x:c r="E24" s="52" t="n">
        <x:f>'People'!E29</x:f>
        <x:v>54718.75</x:v>
      </x:c>
      <x:c r="F24" s="52" t="n">
        <x:f>'People'!F29</x:f>
        <x:v>112656.25</x:v>
      </x:c>
      <x:c r="G24" s="52" t="n">
        <x:f>'People'!G29</x:f>
        <x:v>170593.75</x:v>
      </x:c>
      <x:c r="H24" s="52" t="n">
        <x:f>'People'!H29</x:f>
        <x:v>228531.25</x:v>
      </x:c>
      <x:c r="I24" s="52" t="n">
        <x:f>'People'!I29</x:f>
        <x:v>381260.9375</x:v>
      </x:c>
      <x:c r="J24" s="52" t="n">
        <x:f>'People'!J29</x:f>
        <x:v>613332.8125</x:v>
      </x:c>
      <x:c r="K24" s="52" t="n">
        <x:f>'People'!K29</x:f>
        <x:v>845404.6875</x:v>
      </x:c>
      <x:c r="L24" s="52" t="n">
        <x:f>'People'!L29</x:f>
        <x:v>1077476.5625</x:v>
      </x:c>
      <x:c r="M24" s="52" t="n">
        <x:f>'People'!M29</x:f>
        <x:v>1536647.34375</x:v>
      </x:c>
      <x:c r="N24" s="52" t="n">
        <x:f>'People'!N29</x:f>
        <x:v>2151306.28125</x:v>
      </x:c>
      <x:c r="O24" s="52" t="n">
        <x:f>'People'!O29</x:f>
        <x:v>2765965.21875</x:v>
      </x:c>
      <x:c r="P24" s="52" t="n">
        <x:f>'People'!P29</x:f>
        <x:v>3380624.15625</x:v>
      </x:c>
      <x:c r="Q24" s="52" t="n">
        <x:f>'People'!Q29</x:f>
        <x:v>4185485.8871875005</x:v>
      </x:c>
      <x:c r="R24" s="52" t="n">
        <x:f>'People'!R29</x:f>
        <x:v>4959273.1940625</x:v>
      </x:c>
      <x:c r="S24" s="52" t="n">
        <x:f>'People'!S29</x:f>
        <x:v>5733060.5009375</x:v>
      </x:c>
      <x:c r="T24" s="52" t="n">
        <x:f>'People'!T29</x:f>
        <x:v>6506847.807812501</x:v>
      </x:c>
    </x:row>
    <x:row r="25" ht="25" customHeight="1">
      <x:c r="A25" s="2"/>
      <x:c r="B25" s="2"/>
      <x:c r="C25" s="32" t="str">
        <x:v>Qualified opportunity acquisition</x:v>
      </x:c>
      <x:c r="D25" s="52" t="n">
        <x:f>'Sales'!D39</x:f>
        <x:v>15000</x:v>
      </x:c>
      <x:c r="E25" s="52" t="n">
        <x:f>'Sales'!E39</x:f>
        <x:v>54000</x:v>
      </x:c>
      <x:c r="F25" s="52" t="n">
        <x:f>'Sales'!F39</x:f>
        <x:v>72000</x:v>
      </x:c>
      <x:c r="G25" s="52" t="n">
        <x:f>'Sales'!G39</x:f>
        <x:v>108000</x:v>
      </x:c>
      <x:c r="H25" s="52" t="n">
        <x:f>'Sales'!H39</x:f>
        <x:v>126000</x:v>
      </x:c>
      <x:c r="I25" s="52" t="n">
        <x:f>'Sales'!I39</x:f>
        <x:v>225000</x:v>
      </x:c>
      <x:c r="J25" s="52" t="n">
        <x:f>'Sales'!J39</x:f>
        <x:v>300000</x:v>
      </x:c>
      <x:c r="K25" s="52" t="n">
        <x:f>'Sales'!K39</x:f>
        <x:v>450000</x:v>
      </x:c>
      <x:c r="L25" s="52" t="n">
        <x:f>'Sales'!L39</x:f>
        <x:v>525000</x:v>
      </x:c>
      <x:c r="M25" s="52" t="n">
        <x:f>'Sales'!M39</x:f>
        <x:v>720000</x:v>
      </x:c>
      <x:c r="N25" s="52" t="n">
        <x:f>'Sales'!N39</x:f>
        <x:v>960000</x:v>
      </x:c>
      <x:c r="O25" s="52" t="n">
        <x:f>'Sales'!O39</x:f>
        <x:v>1440000</x:v>
      </x:c>
      <x:c r="P25" s="52" t="n">
        <x:f>'Sales'!P39</x:f>
        <x:v>1680000</x:v>
      </x:c>
      <x:c r="Q25" s="52" t="n">
        <x:f>'Sales'!Q39</x:f>
        <x:v>1462500</x:v>
      </x:c>
      <x:c r="R25" s="52" t="n">
        <x:f>'Sales'!R39</x:f>
        <x:v>1950000</x:v>
      </x:c>
      <x:c r="S25" s="52" t="n">
        <x:f>'Sales'!S39</x:f>
        <x:v>2925000</x:v>
      </x:c>
      <x:c r="T25" s="52" t="n">
        <x:f>'Sales'!T39</x:f>
        <x:v>3412500</x:v>
      </x:c>
    </x:row>
    <x:row r="26" ht="25" customHeight="1">
      <x:c r="A26" s="2"/>
      <x:c r="B26" s="2"/>
      <x:c r="C26" s="32" t="str">
        <x:v>Direct sales commissions</x:v>
      </x:c>
      <x:c r="D26" s="52" t="n">
        <x:f>('Revenue'!D19+'Revenue'!D172)*'Inputs'!D143+'Revenue'!D20*'Inputs'!D145</x:f>
        <x:v>0</x:v>
      </x:c>
      <x:c r="E26" s="52" t="n">
        <x:f>('Revenue'!E19+'Revenue'!E172)*'Inputs'!E143+'Revenue'!E20*'Inputs'!E145</x:f>
        <x:v>5925.113734152953</x:v>
      </x:c>
      <x:c r="F26" s="52" t="n">
        <x:f>('Revenue'!F19+'Revenue'!F172)*'Inputs'!E143+'Revenue'!F20*'Inputs'!E145</x:f>
        <x:v>17040.155867385467</x:v>
      </x:c>
      <x:c r="G26" s="52" t="n">
        <x:f>('Revenue'!G19+'Revenue'!G172)*'Inputs'!E143+'Revenue'!G20*'Inputs'!E145</x:f>
        <x:v>14435.549370357723</x:v>
      </x:c>
      <x:c r="H26" s="52" t="n">
        <x:f>('Revenue'!H19+'Revenue'!H172)*'Inputs'!E143+'Revenue'!H20*'Inputs'!E145</x:f>
        <x:v>16464.932912960536</x:v>
      </x:c>
      <x:c r="I26" s="52" t="n">
        <x:f>('Revenue'!I19+'Revenue'!I172)*'Inputs'!F143+'Revenue'!I20*'Inputs'!F145</x:f>
        <x:v>27333.48846607133</x:v>
      </x:c>
      <x:c r="J26" s="52" t="n">
        <x:f>('Revenue'!J19+'Revenue'!J172)*'Inputs'!F143+'Revenue'!J20*'Inputs'!F145</x:f>
        <x:v>59652.22757931116</x:v>
      </x:c>
      <x:c r="K26" s="52" t="n">
        <x:f>('Revenue'!K19+'Revenue'!K172)*'Inputs'!F143+'Revenue'!K20*'Inputs'!F145</x:f>
        <x:v>72868.40160459714</x:v>
      </x:c>
      <x:c r="L26" s="52" t="n">
        <x:f>('Revenue'!L19+'Revenue'!L172)*'Inputs'!F143+'Revenue'!L20*'Inputs'!F145</x:f>
        <x:v>111973.28224135007</x:v>
      </x:c>
      <x:c r="M26" s="52" t="n">
        <x:f>('Revenue'!M19+'Revenue'!M172)*'Inputs'!G143+'Revenue'!M20*'Inputs'!G145</x:f>
        <x:v>185765.788627244</x:v>
      </x:c>
      <x:c r="N26" s="52" t="n">
        <x:f>('Revenue'!N19+'Revenue'!N172)*'Inputs'!G143+'Revenue'!N20*'Inputs'!G145</x:f>
        <x:v>330444.38556740223</x:v>
      </x:c>
      <x:c r="O26" s="52" t="n">
        <x:f>('Revenue'!O19+'Revenue'!O172)*'Inputs'!G143+'Revenue'!O20*'Inputs'!G145</x:f>
        <x:v>390439.9590599631</x:v>
      </x:c>
      <x:c r="P26" s="52" t="n">
        <x:f>('Revenue'!P19+'Revenue'!P172)*'Inputs'!G143+'Revenue'!P20*'Inputs'!G145</x:f>
        <x:v>536779.7302883147</x:v>
      </x:c>
      <x:c r="Q26" s="52" t="n">
        <x:f>('Revenue'!Q19+'Revenue'!Q172)*'Inputs'!H143+'Revenue'!Q20*'Inputs'!H145</x:f>
        <x:v>755848.8595082521</x:v>
      </x:c>
      <x:c r="R26" s="52" t="n">
        <x:f>('Revenue'!R19+'Revenue'!R172)*'Inputs'!H143+'Revenue'!R20*'Inputs'!H145</x:f>
        <x:v>1215386.3718189413</x:v>
      </x:c>
      <x:c r="S26" s="52" t="n">
        <x:f>('Revenue'!S19+'Revenue'!S172)*'Inputs'!H143+'Revenue'!S20*'Inputs'!H145</x:f>
        <x:v>1358661.38726297</x:v>
      </x:c>
      <x:c r="T26" s="52" t="n">
        <x:f>('Revenue'!T19+'Revenue'!T172)*'Inputs'!H143+'Revenue'!T20*'Inputs'!H145</x:f>
        <x:v>1122291.6575099665</x:v>
      </x:c>
    </x:row>
    <x:row r="27" ht="25" customHeight="1">
      <x:c r="A27" s="2"/>
      <x:c r="B27" s="2"/>
      <x:c r="C27" s="32" t="str">
        <x:v>Partner revenue share</x:v>
      </x:c>
      <x:c r="D27" s="52" t="n">
        <x:f>('Revenue'!D21+'Revenue'!D173)*'Inputs'!D141</x:f>
        <x:v>0</x:v>
      </x:c>
      <x:c r="E27" s="52" t="n">
        <x:f>('Revenue'!E21+'Revenue'!E173)*'Inputs'!E141</x:f>
        <x:v>0</x:v>
      </x:c>
      <x:c r="F27" s="52" t="n">
        <x:f>('Revenue'!F21+'Revenue'!F173)*'Inputs'!E141</x:f>
        <x:v>157.98920217231307</x:v>
      </x:c>
      <x:c r="G27" s="52" t="n">
        <x:f>('Revenue'!G21+'Revenue'!G173)*'Inputs'!E141</x:f>
        <x:v>1097.418604037996</x:v>
      </x:c>
      <x:c r="H27" s="52" t="n">
        <x:f>('Revenue'!H21+'Revenue'!H173)*'Inputs'!E141</x:f>
        <x:v>4619.474209724048</x:v>
      </x:c>
      <x:c r="I27" s="52" t="n">
        <x:f>('Revenue'!I21+'Revenue'!I173)*'Inputs'!F141</x:f>
        <x:v>13149.915840271715</x:v>
      </x:c>
      <x:c r="J27" s="52" t="n">
        <x:f>('Revenue'!J21+'Revenue'!J173)*'Inputs'!F141</x:f>
        <x:v>41313.82381188176</x:v>
      </x:c>
      <x:c r="K27" s="52" t="n">
        <x:f>('Revenue'!K21+'Revenue'!K173)*'Inputs'!F141</x:f>
        <x:v>68951.1643795368</x:v>
      </x:c>
      <x:c r="L27" s="52" t="n">
        <x:f>('Revenue'!L21+'Revenue'!L173)*'Inputs'!F141</x:f>
        <x:v>99823.61772969954</x:v>
      </x:c>
      <x:c r="M27" s="52" t="n">
        <x:f>('Revenue'!M21+'Revenue'!M173)*'Inputs'!G141</x:f>
        <x:v>154266.914755626</x:v>
      </x:c>
      <x:c r="N27" s="52" t="n">
        <x:f>('Revenue'!N21+'Revenue'!N173)*'Inputs'!G141</x:f>
        <x:v>278879.69060893037</x:v>
      </x:c>
      <x:c r="O27" s="52" t="n">
        <x:f>('Revenue'!O21+'Revenue'!O173)*'Inputs'!G141</x:f>
        <x:v>391846.474137555</x:v>
      </x:c>
      <x:c r="P27" s="52" t="n">
        <x:f>('Revenue'!P21+'Revenue'!P173)*'Inputs'!G141</x:f>
        <x:v>556474.2194695676</x:v>
      </x:c>
      <x:c r="Q27" s="52" t="n">
        <x:f>('Revenue'!Q21+'Revenue'!Q173)*'Inputs'!H141</x:f>
        <x:v>744521.1652276372</x:v>
      </x:c>
      <x:c r="R27" s="52" t="n">
        <x:f>('Revenue'!R21+'Revenue'!R173)*'Inputs'!H141</x:f>
        <x:v>1334535.31322933</x:v>
      </x:c>
      <x:c r="S27" s="52" t="n">
        <x:f>('Revenue'!S21+'Revenue'!S173)*'Inputs'!H141</x:f>
        <x:v>1621679.0342510787</x:v>
      </x:c>
      <x:c r="T27" s="52" t="n">
        <x:f>('Revenue'!T21+'Revenue'!T173)*'Inputs'!H141</x:f>
        <x:v>1755790.4990212163</x:v>
      </x:c>
    </x:row>
    <x:row r="28" ht="25" customHeight="1">
      <x:c r="A28" s="2"/>
      <x:c r="B28" s="2"/>
      <x:c r="C28" s="32" t="str">
        <x:v>Partner enablement and market launch</x:v>
      </x:c>
      <x:c r="D28" s="52" t="n">
        <x:f>('Sales'!D14/2)*'Inputs'!D147/4+'Inputs'!D149/1</x:f>
        <x:v>0</x:v>
      </x:c>
      <x:c r="E28" s="52" t="n">
        <x:f>(('Sales'!D14+'Sales'!E14)/2)*'Inputs'!E147/4+'Inputs'!E149/4</x:f>
        <x:v>63125</x:v>
      </x:c>
      <x:c r="F28" s="52" t="n">
        <x:f>(('Sales'!E14+'Sales'!F14)/2)*'Inputs'!E147/4+'Inputs'!E149/4</x:f>
        <x:v>64375</x:v>
      </x:c>
      <x:c r="G28" s="52" t="n">
        <x:f>(('Sales'!F14+'Sales'!G14)/2)*'Inputs'!E147/4+'Inputs'!E149/4</x:f>
        <x:v>65625</x:v>
      </x:c>
      <x:c r="H28" s="52" t="n">
        <x:f>(('Sales'!G14+'Sales'!H14)/2)*'Inputs'!E147/4+'Inputs'!E149/4</x:f>
        <x:v>66875</x:v>
      </x:c>
      <x:c r="I28" s="52" t="n">
        <x:f>(('Sales'!H14+'Sales'!I14)/2)*'Inputs'!F147/4+'Inputs'!F149/4</x:f>
        <x:v>194375</x:v>
      </x:c>
      <x:c r="J28" s="52" t="n">
        <x:f>(('Sales'!I14+'Sales'!J14)/2)*'Inputs'!F147/4+'Inputs'!F149/4</x:f>
        <x:v>198125</x:v>
      </x:c>
      <x:c r="K28" s="52" t="n">
        <x:f>(('Sales'!J14+'Sales'!K14)/2)*'Inputs'!F147/4+'Inputs'!F149/4</x:f>
        <x:v>201875</x:v>
      </x:c>
      <x:c r="L28" s="52" t="n">
        <x:f>(('Sales'!K14+'Sales'!L14)/2)*'Inputs'!F147/4+'Inputs'!F149/4</x:f>
        <x:v>205625</x:v>
      </x:c>
      <x:c r="M28" s="52" t="n">
        <x:f>(('Sales'!L14+'Sales'!M14)/2)*'Inputs'!G147/4+'Inputs'!G149/4</x:f>
        <x:v>525312.5</x:v>
      </x:c>
      <x:c r="N28" s="52" t="n">
        <x:f>(('Sales'!M14+'Sales'!N14)/2)*'Inputs'!G147/4+'Inputs'!G149/4</x:f>
        <x:v>535937.5</x:v>
      </x:c>
      <x:c r="O28" s="52" t="n">
        <x:f>(('Sales'!N14+'Sales'!O14)/2)*'Inputs'!G147/4+'Inputs'!G149/4</x:f>
        <x:v>546562.5</x:v>
      </x:c>
      <x:c r="P28" s="52" t="n">
        <x:f>(('Sales'!O14+'Sales'!P14)/2)*'Inputs'!G147/4+'Inputs'!G149/4</x:f>
        <x:v>557187.5</x:v>
      </x:c>
      <x:c r="Q28" s="52" t="n">
        <x:f>(('Sales'!P14+'Sales'!Q14)/2)*'Inputs'!H147/4+'Inputs'!H149/4</x:f>
        <x:v>1070312.5</x:v>
      </x:c>
      <x:c r="R28" s="52" t="n">
        <x:f>(('Sales'!Q14+'Sales'!R14)/2)*'Inputs'!H147/4+'Inputs'!H149/4</x:f>
        <x:v>1085937.5</x:v>
      </x:c>
      <x:c r="S28" s="52" t="n">
        <x:f>(('Sales'!R14+'Sales'!S14)/2)*'Inputs'!H147/4+'Inputs'!H149/4</x:f>
        <x:v>1101562.5</x:v>
      </x:c>
      <x:c r="T28" s="52" t="n">
        <x:f>(('Sales'!S14+'Sales'!T14)/2)*'Inputs'!H147/4+'Inputs'!H149/4</x:f>
        <x:v>1117187.5</x:v>
      </x:c>
    </x:row>
    <x:row r="29" ht="25" customHeight="1">
      <x:c r="A29" s="2"/>
      <x:c r="B29" s="2"/>
      <x:c r="C29" s="60" t="str">
        <x:v>Total sales and marketing</x:v>
      </x:c>
      <x:c r="D29" s="40" t="n">
        <x:f>SUM(D24:D28)</x:f>
        <x:v>27500</x:v>
      </x:c>
      <x:c r="E29" s="40" t="n">
        <x:f>SUM(E24:E28)</x:f>
        <x:v>177768.86373415295</x:v>
      </x:c>
      <x:c r="F29" s="40" t="n">
        <x:f>SUM(F24:F28)</x:f>
        <x:v>266229.3950695578</x:v>
      </x:c>
      <x:c r="G29" s="40" t="n">
        <x:f>SUM(G24:G28)</x:f>
        <x:v>359751.7179743957</x:v>
      </x:c>
      <x:c r="H29" s="40" t="n">
        <x:f>SUM(H24:H28)</x:f>
        <x:v>442490.6571226846</x:v>
      </x:c>
      <x:c r="I29" s="40" t="n">
        <x:f>SUM(I24:I28)</x:f>
        <x:v>841119.341806343</x:v>
      </x:c>
      <x:c r="J29" s="40" t="n">
        <x:f>SUM(J24:J28)</x:f>
        <x:v>1212423.8638911927</x:v>
      </x:c>
      <x:c r="K29" s="40" t="n">
        <x:f>SUM(K24:K28)</x:f>
        <x:v>1639099.253484134</x:v>
      </x:c>
      <x:c r="L29" s="40" t="n">
        <x:f>SUM(L24:L28)</x:f>
        <x:v>2019898.4624710495</x:v>
      </x:c>
      <x:c r="M29" s="40" t="n">
        <x:f>SUM(M24:M28)</x:f>
        <x:v>3121992.54713287</x:v>
      </x:c>
      <x:c r="N29" s="40" t="n">
        <x:f>SUM(N24:N28)</x:f>
        <x:v>4256567.857426332</x:v>
      </x:c>
      <x:c r="O29" s="40" t="n">
        <x:f>SUM(O24:O28)</x:f>
        <x:v>5534814.151947518</x:v>
      </x:c>
      <x:c r="P29" s="40" t="n">
        <x:f>SUM(P24:P28)</x:f>
        <x:v>6711065.606007882</x:v>
      </x:c>
      <x:c r="Q29" s="40" t="n">
        <x:f>SUM(Q24:Q28)</x:f>
        <x:v>8218668.41192339</x:v>
      </x:c>
      <x:c r="R29" s="40" t="n">
        <x:f>SUM(R24:R28)</x:f>
        <x:v>10545132.379110772</x:v>
      </x:c>
      <x:c r="S29" s="40" t="n">
        <x:f>SUM(S24:S28)</x:f>
        <x:v>12739963.422451548</x:v>
      </x:c>
      <x:c r="T29" s="40" t="n">
        <x:f>SUM(T24:T28)</x:f>
        <x:v>13914617.464343682</x:v>
      </x:c>
    </x:row>
    <x:row r="30" ht="25" customHeight="1">
      <x:c r="A30" s="2"/>
      <x:c r="B30" s="2"/>
      <x:c r="C30" s="32"/>
      <x:c r="D30" s="3"/>
      <x:c r="E30" s="3"/>
      <x:c r="F30" s="3"/>
      <x:c r="G30" s="3"/>
      <x:c r="H30" s="3"/>
      <x:c r="I30" s="3"/>
      <x:c r="J30" s="3"/>
      <x:c r="K30" s="3"/>
      <x:c r="L30" s="3"/>
      <x:c r="M30" s="3"/>
      <x:c r="N30" s="3"/>
      <x:c r="O30" s="3"/>
      <x:c r="P30" s="3"/>
      <x:c r="Q30" s="3"/>
      <x:c r="R30" s="3"/>
      <x:c r="S30" s="3"/>
      <x:c r="T30" s="3"/>
    </x:row>
    <x:row r="31" ht="25" customHeight="1">
      <x:c r="A31" s="2"/>
      <x:c r="B31" s="2"/>
      <x:c r="C31" s="32" t="str">
        <x:v>Leadership and administration payroll</x:v>
      </x:c>
      <x:c r="D31" s="52" t="n">
        <x:f>'People'!D31</x:f>
        <x:v>40000</x:v>
      </x:c>
      <x:c r="E31" s="52" t="n">
        <x:f>'People'!E31</x:f>
        <x:v>97850</x:v>
      </x:c>
      <x:c r="F31" s="52" t="n">
        <x:f>'People'!F31</x:f>
        <x:v>128750</x:v>
      </x:c>
      <x:c r="G31" s="52" t="n">
        <x:f>'People'!G31</x:f>
        <x:v>159650</x:v>
      </x:c>
      <x:c r="H31" s="52" t="n">
        <x:f>'People'!H31</x:f>
        <x:v>190550</x:v>
      </x:c>
      <x:c r="I31" s="52" t="n">
        <x:f>'People'!I31</x:f>
        <x:v>265225</x:v>
      </x:c>
      <x:c r="J31" s="52" t="n">
        <x:f>'People'!J31</x:f>
        <x:v>371315</x:v>
      </x:c>
      <x:c r="K31" s="52" t="n">
        <x:f>'People'!K31</x:f>
        <x:v>477405</x:v>
      </x:c>
      <x:c r="L31" s="52" t="n">
        <x:f>'People'!L31</x:f>
        <x:v>583495</x:v>
      </x:c>
      <x:c r="M31" s="52" t="n">
        <x:f>'People'!M31</x:f>
        <x:v>737590.725</x:v>
      </x:c>
      <x:c r="N31" s="52" t="n">
        <x:f>'People'!N31</x:f>
        <x:v>901499.775</x:v>
      </x:c>
      <x:c r="O31" s="52" t="n">
        <x:f>'People'!O31</x:f>
        <x:v>1065408.825</x:v>
      </x:c>
      <x:c r="P31" s="52" t="n">
        <x:f>'People'!P31</x:f>
        <x:v>1229317.875</x:v>
      </x:c>
      <x:c r="Q31" s="52" t="n">
        <x:f>'People'!Q31</x:f>
        <x:v>1463161.4530000002</x:v>
      </x:c>
      <x:c r="R31" s="52" t="n">
        <x:f>'People'!R31</x:f>
        <x:v>1688263.215</x:v>
      </x:c>
      <x:c r="S31" s="52" t="n">
        <x:f>'People'!S31</x:f>
        <x:v>1913364.9770000002</x:v>
      </x:c>
      <x:c r="T31" s="52" t="n">
        <x:f>'People'!T31</x:f>
        <x:v>2138466.739</x:v>
      </x:c>
    </x:row>
    <x:row r="32" ht="25" customHeight="1">
      <x:c r="A32" s="2"/>
      <x:c r="B32" s="2"/>
      <x:c r="C32" s="32" t="str">
        <x:v>External finance, legal and insurance</x:v>
      </x:c>
      <x:c r="D32" s="52" t="n">
        <x:f>'Inputs'!D167/1</x:f>
        <x:v>30000</x:v>
      </x:c>
      <x:c r="E32" s="52" t="n">
        <x:f>'Inputs'!E167/4</x:f>
        <x:v>25000</x:v>
      </x:c>
      <x:c r="F32" s="52" t="n">
        <x:f>'Inputs'!E167/4</x:f>
        <x:v>25000</x:v>
      </x:c>
      <x:c r="G32" s="52" t="n">
        <x:f>'Inputs'!E167/4</x:f>
        <x:v>25000</x:v>
      </x:c>
      <x:c r="H32" s="52" t="n">
        <x:f>'Inputs'!E167/4</x:f>
        <x:v>25000</x:v>
      </x:c>
      <x:c r="I32" s="52" t="n">
        <x:f>'Inputs'!F167/4</x:f>
        <x:v>62500</x:v>
      </x:c>
      <x:c r="J32" s="52" t="n">
        <x:f>'Inputs'!F167/4</x:f>
        <x:v>62500</x:v>
      </x:c>
      <x:c r="K32" s="52" t="n">
        <x:f>'Inputs'!F167/4</x:f>
        <x:v>62500</x:v>
      </x:c>
      <x:c r="L32" s="52" t="n">
        <x:f>'Inputs'!F167/4</x:f>
        <x:v>62500</x:v>
      </x:c>
      <x:c r="M32" s="52" t="n">
        <x:f>'Inputs'!G167/4</x:f>
        <x:v>150000</x:v>
      </x:c>
      <x:c r="N32" s="52" t="n">
        <x:f>'Inputs'!G167/4</x:f>
        <x:v>150000</x:v>
      </x:c>
      <x:c r="O32" s="52" t="n">
        <x:f>'Inputs'!G167/4</x:f>
        <x:v>150000</x:v>
      </x:c>
      <x:c r="P32" s="52" t="n">
        <x:f>'Inputs'!G167/4</x:f>
        <x:v>150000</x:v>
      </x:c>
      <x:c r="Q32" s="52" t="n">
        <x:f>'Inputs'!H167/4</x:f>
        <x:v>300000</x:v>
      </x:c>
      <x:c r="R32" s="52" t="n">
        <x:f>'Inputs'!H167/4</x:f>
        <x:v>300000</x:v>
      </x:c>
      <x:c r="S32" s="52" t="n">
        <x:f>'Inputs'!H167/4</x:f>
        <x:v>300000</x:v>
      </x:c>
      <x:c r="T32" s="52" t="n">
        <x:f>'Inputs'!H167/4</x:f>
        <x:v>300000</x:v>
      </x:c>
    </x:row>
    <x:row r="33" ht="25" customHeight="1">
      <x:c r="A33" s="2"/>
      <x:c r="B33" s="2"/>
      <x:c r="C33" s="32" t="str">
        <x:v>Office and internal software</x:v>
      </x:c>
      <x:c r="D33" s="52" t="n">
        <x:f>'People'!D22*'Inputs'!D163/4</x:f>
        <x:v>9000</x:v>
      </x:c>
      <x:c r="E33" s="52" t="n">
        <x:f>'People'!E22*'Inputs'!E163/4</x:f>
        <x:v>28687.5</x:v>
      </x:c>
      <x:c r="F33" s="52" t="n">
        <x:f>'People'!F22*'Inputs'!E163/4</x:f>
        <x:v>50062.5</x:v>
      </x:c>
      <x:c r="G33" s="52" t="n">
        <x:f>'People'!G22*'Inputs'!E163/4</x:f>
        <x:v>71437.5</x:v>
      </x:c>
      <x:c r="H33" s="52" t="n">
        <x:f>'People'!H22*'Inputs'!E163/4</x:f>
        <x:v>92812.5</x:v>
      </x:c>
      <x:c r="I33" s="52" t="n">
        <x:f>'People'!I22*'Inputs'!F163/4</x:f>
        <x:v>133835.625</x:v>
      </x:c>
      <x:c r="J33" s="52" t="n">
        <x:f>'People'!J22*'Inputs'!F163/4</x:f>
        <x:v>188296.875</x:v>
      </x:c>
      <x:c r="K33" s="52" t="n">
        <x:f>'People'!K22*'Inputs'!F163/4</x:f>
        <x:v>242758.125</x:v>
      </x:c>
      <x:c r="L33" s="52" t="n">
        <x:f>'People'!L22*'Inputs'!F163/4</x:f>
        <x:v>297219.375</x:v>
      </x:c>
      <x:c r="M33" s="52" t="n">
        <x:f>'People'!M22*'Inputs'!G163/4</x:f>
        <x:v>396838.75</x:v>
      </x:c>
      <x:c r="N33" s="52" t="n">
        <x:f>'People'!N22*'Inputs'!G163/4</x:f>
        <x:v>522156.25</x:v>
      </x:c>
      <x:c r="O33" s="52" t="n">
        <x:f>'People'!O22*'Inputs'!G163/4</x:f>
        <x:v>647473.75</x:v>
      </x:c>
      <x:c r="P33" s="52" t="n">
        <x:f>'People'!P22*'Inputs'!G163/4</x:f>
        <x:v>772791.25</x:v>
      </x:c>
      <x:c r="Q33" s="52" t="n">
        <x:f>'People'!Q22*'Inputs'!H163/4</x:f>
        <x:v>948155.46875</x:v>
      </x:c>
      <x:c r="R33" s="52" t="n">
        <x:f>'People'!R22*'Inputs'!H163/4</x:f>
        <x:v>1123341.40625</x:v>
      </x:c>
      <x:c r="S33" s="52" t="n">
        <x:f>'People'!S22*'Inputs'!H163/4</x:f>
        <x:v>1298527.34375</x:v>
      </x:c>
      <x:c r="T33" s="52" t="n">
        <x:f>'People'!T22*'Inputs'!H163/4</x:f>
        <x:v>1473713.28125</x:v>
      </x:c>
    </x:row>
    <x:row r="34" ht="25" customHeight="1">
      <x:c r="A34" s="2"/>
      <x:c r="B34" s="2"/>
      <x:c r="C34" s="32" t="str">
        <x:v>Recruiting</x:v>
      </x:c>
      <x:c r="D34" s="52" t="n">
        <x:f>'People'!D23*'Inputs'!D165</x:f>
        <x:v>80000</x:v>
      </x:c>
      <x:c r="E34" s="52" t="n">
        <x:f>'People'!E23*'Inputs'!E165</x:f>
        <x:v>95000</x:v>
      </x:c>
      <x:c r="F34" s="52" t="n">
        <x:f>'People'!F23*'Inputs'!E165</x:f>
        <x:v>95000</x:v>
      </x:c>
      <x:c r="G34" s="52" t="n">
        <x:f>'People'!G23*'Inputs'!E165</x:f>
        <x:v>95000</x:v>
      </x:c>
      <x:c r="H34" s="52" t="n">
        <x:f>'People'!H23*'Inputs'!E165</x:f>
        <x:v>95000</x:v>
      </x:c>
      <x:c r="I34" s="52" t="n">
        <x:f>'People'!I23*'Inputs'!F165</x:f>
        <x:v>258500</x:v>
      </x:c>
      <x:c r="J34" s="52" t="n">
        <x:f>'People'!J23*'Inputs'!F165</x:f>
        <x:v>258500</x:v>
      </x:c>
      <x:c r="K34" s="52" t="n">
        <x:f>'People'!K23*'Inputs'!F165</x:f>
        <x:v>258500</x:v>
      </x:c>
      <x:c r="L34" s="52" t="n">
        <x:f>'People'!L23*'Inputs'!F165</x:f>
        <x:v>258500</x:v>
      </x:c>
      <x:c r="M34" s="52" t="n">
        <x:f>'People'!M23*'Inputs'!G165</x:f>
        <x:v>630000</x:v>
      </x:c>
      <x:c r="N34" s="52" t="n">
        <x:f>'People'!N23*'Inputs'!G165</x:f>
        <x:v>630000</x:v>
      </x:c>
      <x:c r="O34" s="52" t="n">
        <x:f>'People'!O23*'Inputs'!G165</x:f>
        <x:v>630000</x:v>
      </x:c>
      <x:c r="P34" s="52" t="n">
        <x:f>'People'!P23*'Inputs'!G165</x:f>
        <x:v>630000</x:v>
      </x:c>
      <x:c r="Q34" s="52" t="n">
        <x:f>'People'!Q23*'Inputs'!H165</x:f>
        <x:v>926250</x:v>
      </x:c>
      <x:c r="R34" s="52" t="n">
        <x:f>'People'!R23*'Inputs'!H165</x:f>
        <x:v>926250</x:v>
      </x:c>
      <x:c r="S34" s="52" t="n">
        <x:f>'People'!S23*'Inputs'!H165</x:f>
        <x:v>926250</x:v>
      </x:c>
      <x:c r="T34" s="52" t="n">
        <x:f>'People'!T23*'Inputs'!H165</x:f>
        <x:v>926250</x:v>
      </x:c>
    </x:row>
    <x:row r="35" ht="25" customHeight="1">
      <x:c r="A35" s="2"/>
      <x:c r="B35" s="2"/>
      <x:c r="C35" s="60" t="str">
        <x:v>Total general and administrative</x:v>
      </x:c>
      <x:c r="D35" s="40" t="n">
        <x:f>SUM(D31:D34)</x:f>
        <x:v>159000</x:v>
      </x:c>
      <x:c r="E35" s="40" t="n">
        <x:f>SUM(E31:E34)</x:f>
        <x:v>246537.5</x:v>
      </x:c>
      <x:c r="F35" s="40" t="n">
        <x:f>SUM(F31:F34)</x:f>
        <x:v>298812.5</x:v>
      </x:c>
      <x:c r="G35" s="40" t="n">
        <x:f>SUM(G31:G34)</x:f>
        <x:v>351087.5</x:v>
      </x:c>
      <x:c r="H35" s="40" t="n">
        <x:f>SUM(H31:H34)</x:f>
        <x:v>403362.5</x:v>
      </x:c>
      <x:c r="I35" s="40" t="n">
        <x:f>SUM(I31:I34)</x:f>
        <x:v>720060.625</x:v>
      </x:c>
      <x:c r="J35" s="40" t="n">
        <x:f>SUM(J31:J34)</x:f>
        <x:v>880611.875</x:v>
      </x:c>
      <x:c r="K35" s="40" t="n">
        <x:f>SUM(K31:K34)</x:f>
        <x:v>1041163.125</x:v>
      </x:c>
      <x:c r="L35" s="40" t="n">
        <x:f>SUM(L31:L34)</x:f>
        <x:v>1201714.375</x:v>
      </x:c>
      <x:c r="M35" s="40" t="n">
        <x:f>SUM(M31:M34)</x:f>
        <x:v>1914429.475</x:v>
      </x:c>
      <x:c r="N35" s="40" t="n">
        <x:f>SUM(N31:N34)</x:f>
        <x:v>2203656.025</x:v>
      </x:c>
      <x:c r="O35" s="40" t="n">
        <x:f>SUM(O31:O34)</x:f>
        <x:v>2492882.575</x:v>
      </x:c>
      <x:c r="P35" s="40" t="n">
        <x:f>SUM(P31:P34)</x:f>
        <x:v>2782109.125</x:v>
      </x:c>
      <x:c r="Q35" s="40" t="n">
        <x:f>SUM(Q31:Q34)</x:f>
        <x:v>3637566.92175</x:v>
      </x:c>
      <x:c r="R35" s="40" t="n">
        <x:f>SUM(R31:R34)</x:f>
        <x:v>4037854.62125</x:v>
      </x:c>
      <x:c r="S35" s="40" t="n">
        <x:f>SUM(S31:S34)</x:f>
        <x:v>4438142.32075</x:v>
      </x:c>
      <x:c r="T35" s="40" t="n">
        <x:f>SUM(T31:T34)</x:f>
        <x:v>4838430.02025</x:v>
      </x:c>
    </x:row>
    <x:row r="36" ht="25" customHeight="1">
      <x:c r="A36" s="2"/>
      <x:c r="B36" s="2"/>
      <x:c r="C36" s="32"/>
      <x:c r="D36" s="3"/>
      <x:c r="E36" s="3"/>
      <x:c r="F36" s="3"/>
      <x:c r="G36" s="3"/>
      <x:c r="H36" s="3"/>
      <x:c r="I36" s="3"/>
      <x:c r="J36" s="3"/>
      <x:c r="K36" s="3"/>
      <x:c r="L36" s="3"/>
      <x:c r="M36" s="3"/>
      <x:c r="N36" s="3"/>
      <x:c r="O36" s="3"/>
      <x:c r="P36" s="3"/>
      <x:c r="Q36" s="3"/>
      <x:c r="R36" s="3"/>
      <x:c r="S36" s="3"/>
      <x:c r="T36" s="3"/>
    </x:row>
    <x:row r="37" ht="25" customHeight="1">
      <x:c r="A37" s="2"/>
      <x:c r="B37" s="2"/>
      <x:c r="C37" s="60" t="str">
        <x:v>Total cash operating expenses</x:v>
      </x:c>
      <x:c r="D37" s="40" t="n">
        <x:f>D14+D22+D29+D35</x:f>
        <x:v>385453.98</x:v>
      </x:c>
      <x:c r="E37" s="40" t="n">
        <x:f>E14+E22+E29+E35</x:f>
        <x:v>829792.555701403</x:v>
      </x:c>
      <x:c r="F37" s="40" t="n">
        <x:f>F14+F22+F29+F35</x:f>
        <x:v>1170600.0605024486</x:v>
      </x:c>
      <x:c r="G37" s="40" t="n">
        <x:f>G14+G22+G29+G35</x:f>
        <x:v>1499987.634307677</x:v>
      </x:c>
      <x:c r="H37" s="40" t="n">
        <x:f>H14+H22+H29+H35</x:f>
        <x:v>1827690.309214872</x:v>
      </x:c>
      <x:c r="I37" s="40" t="n">
        <x:f>I14+I22+I29+I35</x:f>
        <x:v>3109862.2017895</x:v>
      </x:c>
      <x:c r="J37" s="40" t="n">
        <x:f>J14+J22+J29+J35</x:f>
        <x:v>4036404.6592424447</x:v>
      </x:c>
      <x:c r="K37" s="40" t="n">
        <x:f>K14+K22+K29+K35</x:f>
        <x:v>5011606.305933133</x:v>
      </x:c>
      <x:c r="L37" s="40" t="n">
        <x:f>L14+L22+L29+L35</x:f>
        <x:v>5987111.504899539</x:v>
      </x:c>
      <x:c r="M37" s="40" t="n">
        <x:f>M14+M22+M29+M35</x:f>
        <x:v>9103775.99280682</x:v>
      </x:c>
      <x:c r="N37" s="40" t="n">
        <x:f>N14+N22+N29+N35</x:f>
        <x:v>11535856.308589587</x:v>
      </x:c>
      <x:c r="O37" s="40" t="n">
        <x:f>O14+O22+O29+O35</x:f>
        <x:v>14038956.858039398</x:v>
      </x:c>
      <x:c r="P37" s="40" t="n">
        <x:f>P14+P22+P29+P35</x:f>
        <x:v>16577702.378030296</x:v>
      </x:c>
      <x:c r="Q37" s="40" t="n">
        <x:f>Q14+Q22+Q29+Q35</x:f>
        <x:v>21643040.485507406</x:v>
      </x:c>
      <x:c r="R37" s="40" t="n">
        <x:f>R14+R22+R29+R35</x:f>
        <x:v>26236229.811364193</x:v>
      </x:c>
      <x:c r="S37" s="40" t="n">
        <x:f>S14+S22+S29+S35</x:f>
        <x:v>30414285.16601982</x:v>
      </x:c>
      <x:c r="T37" s="40" t="n">
        <x:f>T14+T22+T29+T35</x:f>
        <x:v>32986508.455769412</x:v>
      </x:c>
    </x:row>
    <x:row r="38" ht="25" customHeight="1">
      <x:c r="A38" s="2"/>
      <x:c r="B38" s="2"/>
      <x:c r="C38" s="60" t="str">
        <x:v>EBITDA</x:v>
      </x:c>
      <x:c r="D38" s="40" t="n">
        <x:f>D7-D37</x:f>
        <x:v>-385453.98</x:v>
      </x:c>
      <x:c r="E38" s="40" t="n">
        <x:f>E7-E37</x:f>
        <x:v>-742520.1915590939</x:v>
      </x:c>
      <x:c r="F38" s="40" t="n">
        <x:f>F7-F37</x:f>
        <x:v>-833546.5504097991</x:v>
      </x:c>
      <x:c r="G38" s="40" t="n">
        <x:f>G7-G37</x:f>
        <x:v>-1169859.458447332</x:v>
      </x:c>
      <x:c r="H38" s="40" t="n">
        <x:f>H7-H37</x:f>
        <x:v>-1411251.3384452867</x:v>
      </x:c>
      <x:c r="I38" s="40" t="n">
        <x:f>I7-I37</x:f>
        <x:v>-2493425.4335405137</x:v>
      </x:c>
      <x:c r="J38" s="40" t="n">
        <x:f>J7-J37</x:f>
        <x:v>-2528099.13227134</x:v>
      </x:c>
      <x:c r="K38" s="40" t="n">
        <x:f>K7-K37</x:f>
        <x:v>-2970702.2442956055</x:v>
      </x:c>
      <x:c r="L38" s="40" t="n">
        <x:f>L7-L37</x:f>
        <x:v>-2899505.609028618</x:v>
      </x:c>
      <x:c r="M38" s="40" t="n">
        <x:f>M7-M37</x:f>
        <x:v>-4258161.064114346</x:v>
      </x:c>
      <x:c r="N38" s="40" t="n">
        <x:f>N7-N37</x:f>
        <x:v>-2870249.56002249</x:v>
      </x:c>
      <x:c r="O38" s="40" t="n">
        <x:f>O7-O37</x:f>
        <x:v>-3073924.726524314</x:v>
      </x:c>
      <x:c r="P38" s="40" t="n">
        <x:f>P7-P37</x:f>
        <x:v>-1339770.6404294614</x:v>
      </x:c>
      <x:c r="Q38" s="40" t="n">
        <x:f>Q7-Q37</x:f>
        <x:v>-1069692.2445766479</x:v>
      </x:c>
      <x:c r="R38" s="40" t="n">
        <x:f>R7-R37</x:f>
        <x:v>7981066.516395424</x:v>
      </x:c>
      <x:c r="S38" s="40" t="n">
        <x:f>S7-S37</x:f>
        <x:v>9948726.513243325</x:v>
      </x:c>
      <x:c r="T38" s="40" t="n">
        <x:f>T7-T37</x:f>
        <x:v>5119065.4179830775</x:v>
      </x:c>
    </x:row>
    <x:row r="39" ht="25" customHeight="1">
      <x:c r="A39" s="2"/>
      <x:c r="B39" s="2"/>
      <x:c r="C39" s="32" t="str">
        <x:v>Depreciation</x:v>
      </x:c>
      <x:c r="D39" s="3" t="n">
        <x:f>SUM(D47:D47)/12</x:f>
        <x:v>2333.3333333333335</x:v>
      </x:c>
      <x:c r="E39" s="3" t="n">
        <x:f>SUM(D47:E47)/12</x:f>
        <x:v>5104.166666666667</x:v>
      </x:c>
      <x:c r="F39" s="3" t="n">
        <x:f>SUM(D47:F47)/12</x:f>
        <x:v>7875</x:v>
      </x:c>
      <x:c r="G39" s="3" t="n">
        <x:f>SUM(D47:G47)/12</x:f>
        <x:v>10645.833333333334</x:v>
      </x:c>
      <x:c r="H39" s="3" t="n">
        <x:f>SUM(D47:H47)/12</x:f>
        <x:v>13416.666666666666</x:v>
      </x:c>
      <x:c r="I39" s="3" t="n">
        <x:f>SUM(D47:I47)/12</x:f>
        <x:v>20270.833333333332</x:v>
      </x:c>
      <x:c r="J39" s="3" t="n">
        <x:f>SUM(D47:J47)/12</x:f>
        <x:v>27125</x:v>
      </x:c>
      <x:c r="K39" s="3" t="n">
        <x:f>SUM(D47:K47)/12</x:f>
        <x:v>33979.166666666664</x:v>
      </x:c>
      <x:c r="L39" s="3" t="n">
        <x:f>SUM(D47:L47)/12</x:f>
        <x:v>40833.333333333336</x:v>
      </x:c>
      <x:c r="M39" s="3" t="n">
        <x:f>SUM(D47:M47)/12</x:f>
        <x:v>56145.833333333336</x:v>
      </x:c>
      <x:c r="N39" s="3" t="n">
        <x:f>SUM(D47:N47)/12</x:f>
        <x:v>71458.33333333333</x:v>
      </x:c>
      <x:c r="O39" s="3" t="n">
        <x:f>SUM(D47:O47)/12</x:f>
        <x:v>86770.83333333333</x:v>
      </x:c>
      <x:c r="P39" s="3" t="n">
        <x:f>SUM(E47:P47)/12</x:f>
        <x:v>102083.33333333333</x:v>
      </x:c>
      <x:c r="Q39" s="3" t="n">
        <x:f>SUM(F47:Q47)/12</x:f>
        <x:v>122864.58333333333</x:v>
      </x:c>
      <x:c r="R39" s="3" t="n">
        <x:f>SUM(G47:R47)/12</x:f>
        <x:v>143645.83333333334</x:v>
      </x:c>
      <x:c r="S39" s="3" t="n">
        <x:f>SUM(H47:S47)/12</x:f>
        <x:v>164427.08333333334</x:v>
      </x:c>
      <x:c r="T39" s="3" t="n">
        <x:f>SUM(I47:T47)/12</x:f>
        <x:v>185208.33333333334</x:v>
      </x:c>
    </x:row>
    <x:row r="40" ht="25" customHeight="1">
      <x:c r="A40" s="2"/>
      <x:c r="B40" s="2"/>
      <x:c r="C40" s="60" t="str">
        <x:v>EBIT</x:v>
      </x:c>
      <x:c r="D40" s="40" t="n">
        <x:f>D38-D39</x:f>
        <x:v>-387787.3133333333</x:v>
      </x:c>
      <x:c r="E40" s="40" t="n">
        <x:f>E38-E39</x:f>
        <x:v>-747624.3582257605</x:v>
      </x:c>
      <x:c r="F40" s="40" t="n">
        <x:f>F38-F39</x:f>
        <x:v>-841421.5504097991</x:v>
      </x:c>
      <x:c r="G40" s="40" t="n">
        <x:f>G38-G39</x:f>
        <x:v>-1180505.2917806653</x:v>
      </x:c>
      <x:c r="H40" s="40" t="n">
        <x:f>H38-H39</x:f>
        <x:v>-1424668.0051119535</x:v>
      </x:c>
      <x:c r="I40" s="40" t="n">
        <x:f>I38-I39</x:f>
        <x:v>-2513696.266873847</x:v>
      </x:c>
      <x:c r="J40" s="40" t="n">
        <x:f>J38-J39</x:f>
        <x:v>-2555224.13227134</x:v>
      </x:c>
      <x:c r="K40" s="40" t="n">
        <x:f>K38-K39</x:f>
        <x:v>-3004681.410962272</x:v>
      </x:c>
      <x:c r="L40" s="40" t="n">
        <x:f>L38-L39</x:f>
        <x:v>-2940338.9423619513</x:v>
      </x:c>
      <x:c r="M40" s="40" t="n">
        <x:f>M38-M39</x:f>
        <x:v>-4314306.897447679</x:v>
      </x:c>
      <x:c r="N40" s="40" t="n">
        <x:f>N38-N39</x:f>
        <x:v>-2941707.8933558236</x:v>
      </x:c>
      <x:c r="O40" s="40" t="n">
        <x:f>O38-O39</x:f>
        <x:v>-3160695.5598576474</x:v>
      </x:c>
      <x:c r="P40" s="40" t="n">
        <x:f>P38-P39</x:f>
        <x:v>-1441853.9737627946</x:v>
      </x:c>
      <x:c r="Q40" s="40" t="n">
        <x:f>Q38-Q39</x:f>
        <x:v>-1192556.8279099811</x:v>
      </x:c>
      <x:c r="R40" s="40" t="n">
        <x:f>R38-R39</x:f>
        <x:v>7837420.683062091</x:v>
      </x:c>
      <x:c r="S40" s="40" t="n">
        <x:f>S38-S39</x:f>
        <x:v>9784299.429909991</x:v>
      </x:c>
      <x:c r="T40" s="40" t="n">
        <x:f>T38-T39</x:f>
        <x:v>4933857.084649744</x:v>
      </x:c>
    </x:row>
    <x:row r="41" ht="25" customHeight="1">
      <x:c r="A41" s="2"/>
      <x:c r="B41" s="2"/>
      <x:c r="C41" s="32" t="str">
        <x:v>EBIT margin</x:v>
      </x:c>
      <x:c r="D41" s="23" t="n">
        <x:f>IF(D7=0,0,D40/D7)</x:f>
        <x:v>0</x:v>
      </x:c>
      <x:c r="E41" s="23" t="n">
        <x:f>IF(E7=0,0,E40/E7)</x:f>
        <x:v>-8.566564749027085</x:v>
      </x:c>
      <x:c r="F41" s="23" t="n">
        <x:f>IF(F7=0,0,F40/F7)</x:f>
        <x:v>-2.4964034647748026</x:v>
      </x:c>
      <x:c r="G41" s="23" t="n">
        <x:f>IF(G7=0,0,G40/G7)</x:f>
        <x:v>-3.57589984164229</x:v>
      </x:c>
      <x:c r="H41" s="23" t="n">
        <x:f>IF(H7=0,0,H40/H7)</x:f>
        <x:v>-3.4210727264048937</x:v>
      </x:c>
      <x:c r="I41" s="23" t="n">
        <x:f>IF(I7=0,0,I40/I7)</x:f>
        <x:v>-4.07778444821535</x:v>
      </x:c>
      <x:c r="J41" s="23" t="n">
        <x:f>IF(J7=0,0,J40/J7)</x:f>
        <x:v>-1.6941024789603465</x:v>
      </x:c>
      <x:c r="K41" s="23" t="n">
        <x:f>IF(K7=0,0,K40/K7)</x:f>
        <x:v>-1.472230599880062</x:v>
      </x:c>
      <x:c r="L41" s="23" t="n">
        <x:f>IF(L7=0,0,L40/L7)</x:f>
        <x:v>-0.952303837187929</x:v>
      </x:c>
      <x:c r="M41" s="23" t="n">
        <x:f>IF(M7=0,0,M40/M7)</x:f>
        <x:v>-0.8903528160897091</x:v>
      </x:c>
      <x:c r="N41" s="23" t="n">
        <x:f>IF(N7=0,0,N40/N7)</x:f>
        <x:v>-0.3394693503535976</x:v>
      </x:c>
      <x:c r="O41" s="23" t="n">
        <x:f>IF(O7=0,0,O40/O7)</x:f>
        <x:v>-0.2882522843479275</x:v>
      </x:c>
      <x:c r="P41" s="23" t="n">
        <x:f>IF(P7=0,0,P40/P7)</x:f>
        <x:v>-0.09462268230306498</x:v>
      </x:c>
      <x:c r="Q41" s="23" t="n">
        <x:f>IF(Q7=0,0,Q40/Q7)</x:f>
        <x:v>-0.0579661032294872</x:v>
      </x:c>
      <x:c r="R41" s="23" t="n">
        <x:f>IF(R7=0,0,R40/R7)</x:f>
        <x:v>0.22904850833301496</x:v>
      </x:c>
      <x:c r="S41" s="23" t="n">
        <x:f>IF(S7=0,0,S40/S7)</x:f>
        <x:v>0.24240756630498814</x:v>
      </x:c>
      <x:c r="T41" s="23" t="n">
        <x:f>IF(T7=0,0,T40/T7)</x:f>
        <x:v>0.1294786190859137</x:v>
      </x:c>
    </x:row>
    <x:row r="42" ht="27" customHeight="1">
      <x:c r="A42" s="2"/>
      <x:c r="B42" s="2"/>
      <x:c r="C42" s="61" t="str">
        <x:v>Cash and capital, EUR. Before corporate tax and VAT</x:v>
      </x:c>
      <x:c r="D42" s="15"/>
      <x:c r="E42" s="15"/>
      <x:c r="F42" s="15"/>
      <x:c r="G42" s="15"/>
      <x:c r="H42" s="15"/>
      <x:c r="I42" s="15"/>
      <x:c r="J42" s="15"/>
      <x:c r="K42" s="15"/>
      <x:c r="L42" s="15"/>
      <x:c r="M42" s="15"/>
      <x:c r="N42" s="15"/>
      <x:c r="O42" s="15"/>
      <x:c r="P42" s="15"/>
      <x:c r="Q42" s="15"/>
      <x:c r="R42" s="15"/>
      <x:c r="S42" s="15"/>
      <x:c r="T42" s="15"/>
    </x:row>
    <x:row r="43" ht="25" customHeight="1">
      <x:c r="A43" s="2"/>
      <x:c r="B43" s="2"/>
      <x:c r="C43" s="32" t="str">
        <x:v>Total customer billings</x:v>
      </x:c>
      <x:c r="D43" s="52" t="n">
        <x:f>'Revenue'!D175</x:f>
        <x:v>0</x:v>
      </x:c>
      <x:c r="E43" s="52" t="n">
        <x:f>'Revenue'!E175</x:f>
        <x:v>148127.84335382382</x:v>
      </x:c>
      <x:c r="F43" s="52" t="n">
        <x:f>'Revenue'!F175</x:f>
        <x:v>427068.9064263483</x:v>
      </x:c>
      <x:c r="G43" s="52" t="n">
        <x:f>'Revenue'!G175</x:f>
        <x:v>368162.8503675416</x:v>
      </x:c>
      <x:c r="H43" s="52" t="n">
        <x:f>'Revenue'!H175</x:f>
        <x:v>441795.4204410499</x:v>
      </x:c>
      <x:c r="I43" s="52" t="n">
        <x:f>'Revenue'!I175</x:f>
        <x:v>822476.3425778078</x:v>
      </x:c>
      <x:c r="J43" s="52" t="n">
        <x:f>'Revenue'!J175</x:f>
        <x:v>1820663.0873747803</x:v>
      </x:c>
      <x:c r="K43" s="52" t="n">
        <x:f>'Revenue'!K175</x:f>
        <x:v>2288919.895365166</x:v>
      </x:c>
      <x:c r="L43" s="52" t="n">
        <x:f>'Revenue'!L175</x:f>
        <x:v>3445065.0408809604</x:v>
      </x:c>
      <x:c r="M43" s="52" t="n">
        <x:f>'Revenue'!M175</x:f>
        <x:v>5767813.940296106</x:v>
      </x:c>
      <x:c r="N43" s="52" t="n">
        <x:f>'Revenue'!N175</x:f>
        <x:v>10215503.909544487</x:v>
      </x:c>
      <x:c r="O43" s="52" t="n">
        <x:f>'Revenue'!O175</x:f>
        <x:v>12361550.82109591</x:v>
      </x:c>
      <x:c r="P43" s="52" t="n">
        <x:f>'Revenue'!P175</x:f>
        <x:v>17089553.596365068</x:v>
      </x:c>
      <x:c r="Q43" s="52" t="n">
        <x:f>'Revenue'!Q175</x:f>
        <x:v>24247838.95968771</x:v>
      </x:c>
      <x:c r="R43" s="52" t="n">
        <x:f>'Revenue'!R175</x:f>
        <x:v>39717265.850776374</x:v>
      </x:c>
      <x:c r="S43" s="52" t="n">
        <x:f>'Revenue'!S175</x:f>
        <x:v>44951209.0509544</x:v>
      </x:c>
      <x:c r="T43" s="52" t="n">
        <x:f>'Revenue'!T175</x:f>
        <x:v>40181612.93521418</x:v>
      </x:c>
    </x:row>
    <x:row r="44" ht="25" customHeight="1">
      <x:c r="A44" s="2"/>
      <x:c r="B44" s="2"/>
      <x:c r="C44" s="32" t="str">
        <x:v>Cash collected from customers</x:v>
      </x:c>
      <x:c r="D44" s="52" t="n">
        <x:f>0+D43*(1-'Inputs'!D173)</x:f>
        <x:v>0</x:v>
      </x:c>
      <x:c r="E44" s="52" t="n">
        <x:f>D45+E43*(1-'Inputs'!E173)</x:f>
        <x:v>74063.92167691191</x:v>
      </x:c>
      <x:c r="F44" s="52" t="n">
        <x:f>E45+F43*(1-'Inputs'!E173)</x:f>
        <x:v>287598.37489008607</x:v>
      </x:c>
      <x:c r="G44" s="52" t="n">
        <x:f>F45+G43*(1-'Inputs'!E173)</x:f>
        <x:v>397615.87839694496</x:v>
      </x:c>
      <x:c r="H44" s="52" t="n">
        <x:f>G45+H43*(1-'Inputs'!E173)</x:f>
        <x:v>404979.13540429575</x:v>
      </x:c>
      <x:c r="I44" s="52" t="n">
        <x:f>H45+I43*(1-'Inputs'!F173)</x:f>
        <x:v>632135.8815094288</x:v>
      </x:c>
      <x:c r="J44" s="52" t="n">
        <x:f>I45+J43*(1-'Inputs'!F173)</x:f>
        <x:v>1321569.714976294</x:v>
      </x:c>
      <x:c r="K44" s="52" t="n">
        <x:f>J45+K43*(1-'Inputs'!F173)</x:f>
        <x:v>2054791.4913699732</x:v>
      </x:c>
      <x:c r="L44" s="52" t="n">
        <x:f>K45+L43*(1-'Inputs'!F173)</x:f>
        <x:v>2866992.4681230634</x:v>
      </x:c>
      <x:c r="M44" s="52" t="n">
        <x:f>L45+M43*(1-'Inputs'!G173)</x:f>
        <x:v>4606439.490588533</x:v>
      </x:c>
      <x:c r="N44" s="52" t="n">
        <x:f>M45+N43*(1-'Inputs'!G173)</x:f>
        <x:v>7991658.924920296</x:v>
      </x:c>
      <x:c r="O44" s="52" t="n">
        <x:f>N45+O43*(1-'Inputs'!G173)</x:f>
        <x:v>11288527.365320198</x:v>
      </x:c>
      <x:c r="P44" s="52" t="n">
        <x:f>O45+P43*(1-'Inputs'!G173)</x:f>
        <x:v>14725552.208730489</x:v>
      </x:c>
      <x:c r="Q44" s="52" t="n">
        <x:f>P45+Q43*(1-'Inputs'!H173)</x:f>
        <x:v>20668696.278026387</x:v>
      </x:c>
      <x:c r="R44" s="52" t="n">
        <x:f>Q45+R43*(1-'Inputs'!H173)</x:f>
        <x:v>31982552.405232042</x:v>
      </x:c>
      <x:c r="S44" s="52" t="n">
        <x:f>R45+S43*(1-'Inputs'!H173)</x:f>
        <x:v>42334237.45086539</x:v>
      </x:c>
      <x:c r="T44" s="52" t="n">
        <x:f>S45+T43*(1-'Inputs'!H173)</x:f>
        <x:v>42566410.99308429</x:v>
      </x:c>
    </x:row>
    <x:row r="45" ht="25" customHeight="1">
      <x:c r="A45" s="2"/>
      <x:c r="B45" s="2"/>
      <x:c r="C45" s="32" t="str">
        <x:v>Accounts receivable</x:v>
      </x:c>
      <x:c r="D45" s="52" t="n">
        <x:f>D43*'Inputs'!D173</x:f>
        <x:v>0</x:v>
      </x:c>
      <x:c r="E45" s="52" t="n">
        <x:f>E43*'Inputs'!E173</x:f>
        <x:v>74063.92167691191</x:v>
      </x:c>
      <x:c r="F45" s="52" t="n">
        <x:f>F43*'Inputs'!E173</x:f>
        <x:v>213534.45321317416</x:v>
      </x:c>
      <x:c r="G45" s="52" t="n">
        <x:f>G43*'Inputs'!E173</x:f>
        <x:v>184081.4251837708</x:v>
      </x:c>
      <x:c r="H45" s="52" t="n">
        <x:f>H43*'Inputs'!E173</x:f>
        <x:v>220897.71022052495</x:v>
      </x:c>
      <x:c r="I45" s="52" t="n">
        <x:f>I43*'Inputs'!F173</x:f>
        <x:v>411238.1712889039</x:v>
      </x:c>
      <x:c r="J45" s="52" t="n">
        <x:f>J43*'Inputs'!F173</x:f>
        <x:v>910331.5436873902</x:v>
      </x:c>
      <x:c r="K45" s="52" t="n">
        <x:f>K43*'Inputs'!F173</x:f>
        <x:v>1144459.947682583</x:v>
      </x:c>
      <x:c r="L45" s="52" t="n">
        <x:f>L43*'Inputs'!F173</x:f>
        <x:v>1722532.5204404802</x:v>
      </x:c>
      <x:c r="M45" s="52" t="n">
        <x:f>M43*'Inputs'!G173</x:f>
        <x:v>2883906.970148053</x:v>
      </x:c>
      <x:c r="N45" s="52" t="n">
        <x:f>N43*'Inputs'!G173</x:f>
        <x:v>5107751.954772243</x:v>
      </x:c>
      <x:c r="O45" s="52" t="n">
        <x:f>O43*'Inputs'!G173</x:f>
        <x:v>6180775.410547955</x:v>
      </x:c>
      <x:c r="P45" s="52" t="n">
        <x:f>P43*'Inputs'!G173</x:f>
        <x:v>8544776.798182534</x:v>
      </x:c>
      <x:c r="Q45" s="52" t="n">
        <x:f>Q43*'Inputs'!H173</x:f>
        <x:v>12123919.479843855</x:v>
      </x:c>
      <x:c r="R45" s="52" t="n">
        <x:f>R43*'Inputs'!H173</x:f>
        <x:v>19858632.925388187</x:v>
      </x:c>
      <x:c r="S45" s="52" t="n">
        <x:f>S43*'Inputs'!H173</x:f>
        <x:v>22475604.5254772</x:v>
      </x:c>
      <x:c r="T45" s="52" t="n">
        <x:f>T43*'Inputs'!H173</x:f>
        <x:v>20090806.46760709</x:v>
      </x:c>
    </x:row>
    <x:row r="46" ht="25" customHeight="1">
      <x:c r="A46" s="2"/>
      <x:c r="B46" s="2"/>
      <x:c r="C46" s="32" t="str">
        <x:v>Deferred revenue</x:v>
      </x:c>
      <x:c r="D46" s="3" t="n">
        <x:f>0+D43-D7</x:f>
        <x:v>0</x:v>
      </x:c>
      <x:c r="E46" s="3" t="n">
        <x:f>D46+E43-E7</x:f>
        <x:v>60855.479211514714</x:v>
      </x:c>
      <x:c r="F46" s="3" t="n">
        <x:f>E46+F43-F7</x:f>
        <x:v>150870.87554521352</x:v>
      </x:c>
      <x:c r="G46" s="3" t="n">
        <x:f>F46+G43-G7</x:f>
        <x:v>188905.55005241022</x:v>
      </x:c>
      <x:c r="H46" s="3" t="n">
        <x:f>G46+H43-H7</x:f>
        <x:v>214261.99972387461</x:v>
      </x:c>
      <x:c r="I46" s="3" t="n">
        <x:f>H46+I43-I7</x:f>
        <x:v>420301.57405269577</x:v>
      </x:c>
      <x:c r="J46" s="3" t="n">
        <x:f>I46+J43-J7</x:f>
        <x:v>732659.1344563714</x:v>
      </x:c>
      <x:c r="K46" s="3" t="n">
        <x:f>J46+K43-K7</x:f>
        <x:v>980674.9681840101</x:v>
      </x:c>
      <x:c r="L46" s="3" t="n">
        <x:f>K46+L43-L7</x:f>
        <x:v>1338134.1131940493</x:v>
      </x:c>
      <x:c r="M46" s="3" t="n">
        <x:f>L46+M43-M7</x:f>
        <x:v>2260333.1247976813</x:v>
      </x:c>
      <x:c r="N46" s="3" t="n">
        <x:f>M46+N43-N7</x:f>
        <x:v>3810230.285775071</x:v>
      </x:c>
      <x:c r="O46" s="3" t="n">
        <x:f>N46+O43-O7</x:f>
        <x:v>5206748.975355897</x:v>
      </x:c>
      <x:c r="P46" s="3" t="n">
        <x:f>O46+P43-P7</x:f>
        <x:v>7058370.83412013</x:v>
      </x:c>
      <x:c r="Q46" s="3" t="n">
        <x:f>P46+Q43-Q7</x:f>
        <x:v>10732861.552877083</x:v>
      </x:c>
      <x:c r="R46" s="3" t="n">
        <x:f>Q46+R43-R7</x:f>
        <x:v>16232831.075893842</x:v>
      </x:c>
      <x:c r="S46" s="3" t="n">
        <x:f>R46+S43-S7</x:f>
        <x:v>20821028.4475851</x:v>
      </x:c>
      <x:c r="T46" s="3" t="n">
        <x:f>S46+T43-T7</x:f>
        <x:v>22897067.509046786</x:v>
      </x:c>
    </x:row>
    <x:row r="47" ht="25" customHeight="1">
      <x:c r="A47" s="2"/>
      <x:c r="B47" s="2"/>
      <x:c r="C47" s="32" t="str">
        <x:v>Equipment capex incl. replacement</x:v>
      </x:c>
      <x:c r="D47" s="52" t="n">
        <x:f>'People'!D23*'Inputs'!D171+0</x:f>
        <x:v>28000</x:v>
      </x:c>
      <x:c r="E47" s="52" t="n">
        <x:f>'People'!E23*'Inputs'!E171+0</x:f>
        <x:v>33250</x:v>
      </x:c>
      <x:c r="F47" s="52" t="n">
        <x:f>'People'!F23*'Inputs'!E171+0</x:f>
        <x:v>33250</x:v>
      </x:c>
      <x:c r="G47" s="52" t="n">
        <x:f>'People'!G23*'Inputs'!E171+0</x:f>
        <x:v>33250</x:v>
      </x:c>
      <x:c r="H47" s="52" t="n">
        <x:f>'People'!H23*'Inputs'!E171+0</x:f>
        <x:v>33250</x:v>
      </x:c>
      <x:c r="I47" s="52" t="n">
        <x:f>'People'!I23*'Inputs'!F171+0</x:f>
        <x:v>82250</x:v>
      </x:c>
      <x:c r="J47" s="52" t="n">
        <x:f>'People'!J23*'Inputs'!F171+0</x:f>
        <x:v>82250</x:v>
      </x:c>
      <x:c r="K47" s="52" t="n">
        <x:f>'People'!K23*'Inputs'!F171+0</x:f>
        <x:v>82250</x:v>
      </x:c>
      <x:c r="L47" s="52" t="n">
        <x:f>'People'!L23*'Inputs'!F171+0</x:f>
        <x:v>82250</x:v>
      </x:c>
      <x:c r="M47" s="52" t="n">
        <x:f>'People'!M23*'Inputs'!G171+0</x:f>
        <x:v>183750</x:v>
      </x:c>
      <x:c r="N47" s="52" t="n">
        <x:f>'People'!N23*'Inputs'!G171+0</x:f>
        <x:v>183750</x:v>
      </x:c>
      <x:c r="O47" s="52" t="n">
        <x:f>'People'!O23*'Inputs'!G171+0</x:f>
        <x:v>183750</x:v>
      </x:c>
      <x:c r="P47" s="52" t="n">
        <x:f>'People'!P23*'Inputs'!G171+D47</x:f>
        <x:v>211750</x:v>
      </x:c>
      <x:c r="Q47" s="52" t="n">
        <x:f>'People'!Q23*'Inputs'!H171+E47</x:f>
        <x:v>282625</x:v>
      </x:c>
      <x:c r="R47" s="52" t="n">
        <x:f>'People'!R23*'Inputs'!H171+F47</x:f>
        <x:v>282625</x:v>
      </x:c>
      <x:c r="S47" s="52" t="n">
        <x:f>'People'!S23*'Inputs'!H171+G47</x:f>
        <x:v>282625</x:v>
      </x:c>
      <x:c r="T47" s="52" t="n">
        <x:f>'People'!T23*'Inputs'!H171+H47</x:f>
        <x:v>282625</x:v>
      </x:c>
    </x:row>
    <x:row r="48" ht="25" customHeight="1">
      <x:c r="A48" s="2"/>
      <x:c r="B48" s="2"/>
      <x:c r="C48" s="32" t="str">
        <x:v>Net book value of equipment</x:v>
      </x:c>
      <x:c r="D48" s="3" t="n">
        <x:f>0+D47-D39</x:f>
        <x:v>25666.666666666668</x:v>
      </x:c>
      <x:c r="E48" s="3" t="n">
        <x:f>D48+E47-E39</x:f>
        <x:v>53812.50000000001</x:v>
      </x:c>
      <x:c r="F48" s="3" t="n">
        <x:f>E48+F47-F39</x:f>
        <x:v>79187.5</x:v>
      </x:c>
      <x:c r="G48" s="3" t="n">
        <x:f>F48+G47-G39</x:f>
        <x:v>101791.66666666667</x:v>
      </x:c>
      <x:c r="H48" s="3" t="n">
        <x:f>G48+H47-H39</x:f>
        <x:v>121625.00000000001</x:v>
      </x:c>
      <x:c r="I48" s="3" t="n">
        <x:f>H48+I47-I39</x:f>
        <x:v>183604.16666666666</x:v>
      </x:c>
      <x:c r="J48" s="3" t="n">
        <x:f>I48+J47-J39</x:f>
        <x:v>238729.16666666663</x:v>
      </x:c>
      <x:c r="K48" s="3" t="n">
        <x:f>J48+K47-K39</x:f>
        <x:v>286999.99999999994</x:v>
      </x:c>
      <x:c r="L48" s="3" t="n">
        <x:f>K48+L47-L39</x:f>
        <x:v>328416.6666666666</x:v>
      </x:c>
      <x:c r="M48" s="3" t="n">
        <x:f>L48+M47-M39</x:f>
        <x:v>456020.8333333333</x:v>
      </x:c>
      <x:c r="N48" s="3" t="n">
        <x:f>M48+N47-N39</x:f>
        <x:v>568312.4999999999</x:v>
      </x:c>
      <x:c r="O48" s="3" t="n">
        <x:f>N48+O47-O39</x:f>
        <x:v>665291.6666666665</x:v>
      </x:c>
      <x:c r="P48" s="3" t="n">
        <x:f>O48+P47-P39</x:f>
        <x:v>774958.3333333331</x:v>
      </x:c>
      <x:c r="Q48" s="3" t="n">
        <x:f>P48+Q47-Q39</x:f>
        <x:v>934718.7499999997</x:v>
      </x:c>
      <x:c r="R48" s="3" t="n">
        <x:f>Q48+R47-R39</x:f>
        <x:v>1073697.9166666663</x:v>
      </x:c>
      <x:c r="S48" s="3" t="n">
        <x:f>R48+S47-S39</x:f>
        <x:v>1191895.833333333</x:v>
      </x:c>
      <x:c r="T48" s="3" t="n">
        <x:f>S48+T47-T39</x:f>
        <x:v>1289312.4999999998</x:v>
      </x:c>
    </x:row>
    <x:row r="49" ht="25" customHeight="1">
      <x:c r="A49" s="2"/>
      <x:c r="B49" s="2"/>
      <x:c r="C49" s="32" t="str">
        <x:v>Cash flow before financing and taxes</x:v>
      </x:c>
      <x:c r="D49" s="3" t="n">
        <x:f>D44-D37-D47</x:f>
        <x:v>-413453.98</x:v>
      </x:c>
      <x:c r="E49" s="3" t="n">
        <x:f>E44-E37-E47</x:f>
        <x:v>-788978.6340244911</x:v>
      </x:c>
      <x:c r="F49" s="3" t="n">
        <x:f>F44-F37-F47</x:f>
        <x:v>-916251.6856123626</x:v>
      </x:c>
      <x:c r="G49" s="3" t="n">
        <x:f>G44-G37-G47</x:f>
        <x:v>-1135621.7559107319</x:v>
      </x:c>
      <x:c r="H49" s="3" t="n">
        <x:f>H44-H37-H47</x:f>
        <x:v>-1455961.1738105763</x:v>
      </x:c>
      <x:c r="I49" s="3" t="n">
        <x:f>I44-I37-I47</x:f>
        <x:v>-2559976.3202800713</x:v>
      </x:c>
      <x:c r="J49" s="3" t="n">
        <x:f>J44-J37-J47</x:f>
        <x:v>-2797084.9442661507</x:v>
      </x:c>
      <x:c r="K49" s="3" t="n">
        <x:f>K44-K37-K47</x:f>
        <x:v>-3039064.81456316</x:v>
      </x:c>
      <x:c r="L49" s="3" t="n">
        <x:f>L44-L37-L47</x:f>
        <x:v>-3202369.0367764756</x:v>
      </x:c>
      <x:c r="M49" s="3" t="n">
        <x:f>M44-M37-M47</x:f>
        <x:v>-4681086.502218287</x:v>
      </x:c>
      <x:c r="N49" s="3" t="n">
        <x:f>N44-N37-N47</x:f>
        <x:v>-3727947.3836692907</x:v>
      </x:c>
      <x:c r="O49" s="3" t="n">
        <x:f>O44-O37-O47</x:f>
        <x:v>-2934179.4927191995</x:v>
      </x:c>
      <x:c r="P49" s="3" t="n">
        <x:f>P44-P37-P47</x:f>
        <x:v>-2063900.1692998074</x:v>
      </x:c>
      <x:c r="Q49" s="3" t="n">
        <x:f>Q44-Q37-Q47</x:f>
        <x:v>-1256969.2074810192</x:v>
      </x:c>
      <x:c r="R49" s="3" t="n">
        <x:f>R44-R37-R47</x:f>
        <x:v>5463697.59386785</x:v>
      </x:c>
      <x:c r="S49" s="3" t="n">
        <x:f>S44-S37-S47</x:f>
        <x:v>11637327.284845568</x:v>
      </x:c>
      <x:c r="T49" s="3" t="n">
        <x:f>T44-T37-T47</x:f>
        <x:v>9297277.537314877</x:v>
      </x:c>
    </x:row>
    <x:row r="50" ht="25" customHeight="1">
      <x:c r="A50" s="2"/>
      <x:c r="B50" s="2"/>
      <x:c r="C50" s="32" t="str">
        <x:v>Net equity financing included</x:v>
      </x:c>
      <x:c r="D50" s="52" t="n">
        <x:f>'Funding'!D11</x:f>
        <x:v>975000</x:v>
      </x:c>
      <x:c r="E50" s="52" t="n">
        <x:f>'Funding'!E11</x:f>
        <x:v>4875000</x:v>
      </x:c>
      <x:c r="F50" s="52" t="n">
        <x:f>'Funding'!F11</x:f>
        <x:v>0</x:v>
      </x:c>
      <x:c r="G50" s="52" t="n">
        <x:f>'Funding'!G11</x:f>
        <x:v>0</x:v>
      </x:c>
      <x:c r="H50" s="52" t="n">
        <x:f>'Funding'!H11</x:f>
        <x:v>0</x:v>
      </x:c>
      <x:c r="I50" s="52" t="n">
        <x:f>'Funding'!I11</x:f>
        <x:v>21450000</x:v>
      </x:c>
      <x:c r="J50" s="52" t="n">
        <x:f>'Funding'!J11</x:f>
        <x:v>0</x:v>
      </x:c>
      <x:c r="K50" s="52" t="n">
        <x:f>'Funding'!K11</x:f>
        <x:v>0</x:v>
      </x:c>
      <x:c r="L50" s="52" t="n">
        <x:f>'Funding'!L11</x:f>
        <x:v>0</x:v>
      </x:c>
      <x:c r="M50" s="52" t="n">
        <x:f>'Funding'!M11</x:f>
        <x:v>0</x:v>
      </x:c>
      <x:c r="N50" s="52" t="n">
        <x:f>'Funding'!N11</x:f>
        <x:v>0</x:v>
      </x:c>
      <x:c r="O50" s="52" t="n">
        <x:f>'Funding'!O11</x:f>
        <x:v>0</x:v>
      </x:c>
      <x:c r="P50" s="52" t="n">
        <x:f>'Funding'!P11</x:f>
        <x:v>0</x:v>
      </x:c>
      <x:c r="Q50" s="52" t="n">
        <x:f>'Funding'!Q11</x:f>
        <x:v>0</x:v>
      </x:c>
      <x:c r="R50" s="52" t="n">
        <x:f>'Funding'!R11</x:f>
        <x:v>0</x:v>
      </x:c>
      <x:c r="S50" s="52" t="n">
        <x:f>'Funding'!S11</x:f>
        <x:v>0</x:v>
      </x:c>
      <x:c r="T50" s="52" t="n">
        <x:f>'Funding'!T11</x:f>
        <x:v>0</x:v>
      </x:c>
    </x:row>
    <x:row r="51" ht="25" customHeight="1">
      <x:c r="A51" s="2"/>
      <x:c r="B51" s="2"/>
      <x:c r="C51" s="60" t="str">
        <x:v>Closing cash after planned funding</x:v>
      </x:c>
      <x:c r="D51" s="40" t="n">
        <x:f>0+D49+D50</x:f>
        <x:v>561546.02</x:v>
      </x:c>
      <x:c r="E51" s="40" t="n">
        <x:f>D51+E49+E50</x:f>
        <x:v>4647567.385975509</x:v>
      </x:c>
      <x:c r="F51" s="40" t="n">
        <x:f>E51+F49+F50</x:f>
        <x:v>3731315.700363146</x:v>
      </x:c>
      <x:c r="G51" s="40" t="n">
        <x:f>F51+G49+G50</x:f>
        <x:v>2595693.9444524143</x:v>
      </x:c>
      <x:c r="H51" s="40" t="n">
        <x:f>G51+H49+H50</x:f>
        <x:v>1139732.770641838</x:v>
      </x:c>
      <x:c r="I51" s="40" t="n">
        <x:f>H51+I49+I50</x:f>
        <x:v>20029756.450361766</x:v>
      </x:c>
      <x:c r="J51" s="40" t="n">
        <x:f>I51+J49+J50</x:f>
        <x:v>17232671.506095614</x:v>
      </x:c>
      <x:c r="K51" s="40" t="n">
        <x:f>J51+K49+K50</x:f>
        <x:v>14193606.691532455</x:v>
      </x:c>
      <x:c r="L51" s="40" t="n">
        <x:f>K51+L49+L50</x:f>
        <x:v>10991237.65475598</x:v>
      </x:c>
      <x:c r="M51" s="40" t="n">
        <x:f>L51+M49+M50</x:f>
        <x:v>6310151.152537692</x:v>
      </x:c>
      <x:c r="N51" s="40" t="n">
        <x:f>M51+N49+N50</x:f>
        <x:v>2582203.7688684016</x:v>
      </x:c>
      <x:c r="O51" s="40" t="n">
        <x:f>N51+O49+O50</x:f>
        <x:v>-351975.72385079786</x:v>
      </x:c>
      <x:c r="P51" s="40" t="n">
        <x:f>O51+P49+P50</x:f>
        <x:v>-2415875.8931506053</x:v>
      </x:c>
      <x:c r="Q51" s="40" t="n">
        <x:f>P51+Q49+Q50</x:f>
        <x:v>-3672845.1006316245</x:v>
      </x:c>
      <x:c r="R51" s="40" t="n">
        <x:f>Q51+R49+R50</x:f>
        <x:v>1790852.493236225</x:v>
      </x:c>
      <x:c r="S51" s="40" t="n">
        <x:f>R51+S49+S50</x:f>
        <x:v>13428179.778081793</x:v>
      </x:c>
      <x:c r="T51" s="40" t="n">
        <x:f>S51+T49+T50</x:f>
        <x:v>22725457.31539667</x:v>
      </x:c>
    </x:row>
    <x:row r="52" ht="25" customHeight="1">
      <x:c r="A52" s="2"/>
      <x:c r="B52" s="2"/>
      <x:c r="C52" s="32" t="str">
        <x:v>Cumulative cash flow before financing</x:v>
      </x:c>
      <x:c r="D52" s="3" t="n">
        <x:f>0+D49</x:f>
        <x:v>-413453.98</x:v>
      </x:c>
      <x:c r="E52" s="3" t="n">
        <x:f>D52+E49</x:f>
        <x:v>-1202432.614024491</x:v>
      </x:c>
      <x:c r="F52" s="3" t="n">
        <x:f>E52+F49</x:f>
        <x:v>-2118684.299636854</x:v>
      </x:c>
      <x:c r="G52" s="3" t="n">
        <x:f>F52+G49</x:f>
        <x:v>-3254306.0555475857</x:v>
      </x:c>
      <x:c r="H52" s="3" t="n">
        <x:f>G52+H49</x:f>
        <x:v>-4710267.229358162</x:v>
      </x:c>
      <x:c r="I52" s="3" t="n">
        <x:f>H52+I49</x:f>
        <x:v>-7270243.549638233</x:v>
      </x:c>
      <x:c r="J52" s="3" t="n">
        <x:f>I52+J49</x:f>
        <x:v>-10067328.493904384</x:v>
      </x:c>
      <x:c r="K52" s="3" t="n">
        <x:f>J52+K49</x:f>
        <x:v>-13106393.308467545</x:v>
      </x:c>
      <x:c r="L52" s="3" t="n">
        <x:f>K52+L49</x:f>
        <x:v>-16308762.34524402</x:v>
      </x:c>
      <x:c r="M52" s="3" t="n">
        <x:f>L52+M49</x:f>
        <x:v>-20989848.847462308</x:v>
      </x:c>
      <x:c r="N52" s="3" t="n">
        <x:f>M52+N49</x:f>
        <x:v>-24717796.2311316</x:v>
      </x:c>
      <x:c r="O52" s="3" t="n">
        <x:f>N52+O49</x:f>
        <x:v>-27651975.723850798</x:v>
      </x:c>
      <x:c r="P52" s="3" t="n">
        <x:f>O52+P49</x:f>
        <x:v>-29715875.893150605</x:v>
      </x:c>
      <x:c r="Q52" s="3" t="n">
        <x:f>P52+Q49</x:f>
        <x:v>-30972845.100631624</x:v>
      </x:c>
      <x:c r="R52" s="3" t="n">
        <x:f>Q52+R49</x:f>
        <x:v>-25509147.506763775</x:v>
      </x:c>
      <x:c r="S52" s="3" t="n">
        <x:f>R52+S49</x:f>
        <x:v>-13871820.221918207</x:v>
      </x:c>
      <x:c r="T52" s="3" t="n">
        <x:f>S52+T49</x:f>
        <x:v>-4574542.68460333</x:v>
      </x:c>
    </x:row>
    <x:row r="53" ht="25" customHeight="1">
      <x:c r="A53" s="2"/>
      <x:c r="B53" s="2"/>
      <x:c r="C53" s="32" t="str">
        <x:v>Operating cash shortfall</x:v>
      </x:c>
      <x:c r="D53" s="3" t="n">
        <x:f>MAX(0,-D52)</x:f>
        <x:v>413453.98</x:v>
      </x:c>
      <x:c r="E53" s="3" t="n">
        <x:f>MAX(0,-E52)</x:f>
        <x:v>1202432.614024491</x:v>
      </x:c>
      <x:c r="F53" s="3" t="n">
        <x:f>MAX(0,-F52)</x:f>
        <x:v>2118684.299636854</x:v>
      </x:c>
      <x:c r="G53" s="3" t="n">
        <x:f>MAX(0,-G52)</x:f>
        <x:v>3254306.0555475857</x:v>
      </x:c>
      <x:c r="H53" s="3" t="n">
        <x:f>MAX(0,-H52)</x:f>
        <x:v>4710267.229358162</x:v>
      </x:c>
      <x:c r="I53" s="3" t="n">
        <x:f>MAX(0,-I52)</x:f>
        <x:v>7270243.549638233</x:v>
      </x:c>
      <x:c r="J53" s="3" t="n">
        <x:f>MAX(0,-J52)</x:f>
        <x:v>10067328.493904384</x:v>
      </x:c>
      <x:c r="K53" s="3" t="n">
        <x:f>MAX(0,-K52)</x:f>
        <x:v>13106393.308467545</x:v>
      </x:c>
      <x:c r="L53" s="3" t="n">
        <x:f>MAX(0,-L52)</x:f>
        <x:v>16308762.34524402</x:v>
      </x:c>
      <x:c r="M53" s="3" t="n">
        <x:f>MAX(0,-M52)</x:f>
        <x:v>20989848.847462308</x:v>
      </x:c>
      <x:c r="N53" s="3" t="n">
        <x:f>MAX(0,-N52)</x:f>
        <x:v>24717796.2311316</x:v>
      </x:c>
      <x:c r="O53" s="3" t="n">
        <x:f>MAX(0,-O52)</x:f>
        <x:v>27651975.723850798</x:v>
      </x:c>
      <x:c r="P53" s="3" t="n">
        <x:f>MAX(0,-P52)</x:f>
        <x:v>29715875.893150605</x:v>
      </x:c>
      <x:c r="Q53" s="3" t="n">
        <x:f>MAX(0,-Q52)</x:f>
        <x:v>30972845.100631624</x:v>
      </x:c>
      <x:c r="R53" s="3" t="n">
        <x:f>MAX(0,-R52)</x:f>
        <x:v>25509147.506763775</x:v>
      </x:c>
      <x:c r="S53" s="3" t="n">
        <x:f>MAX(0,-S52)</x:f>
        <x:v>13871820.221918207</x:v>
      </x:c>
      <x:c r="T53" s="3" t="n">
        <x:f>MAX(0,-T52)</x:f>
        <x:v>4574542.68460333</x:v>
      </x:c>
    </x:row>
    <x:row r="54" ht="25" customHeight="1">
      <x:c r="A54" s="2"/>
      <x:c r="B54" s="2"/>
      <x:c r="C54" s="32" t="str">
        <x:v>Gross operating spend reserve</x:v>
      </x:c>
      <x:c r="D54" s="52" t="n">
        <x:f>D37/3*'Inputs'!D175</x:f>
        <x:v>385453.98</x:v>
      </x:c>
      <x:c r="E54" s="52" t="n">
        <x:f>E37/3*'Inputs'!E175</x:f>
        <x:v>829792.555701403</x:v>
      </x:c>
      <x:c r="F54" s="52" t="n">
        <x:f>F37/3*'Inputs'!E175</x:f>
        <x:v>1170600.0605024486</x:v>
      </x:c>
      <x:c r="G54" s="52" t="n">
        <x:f>G37/3*'Inputs'!E175</x:f>
        <x:v>1499987.634307677</x:v>
      </x:c>
      <x:c r="H54" s="52" t="n">
        <x:f>H37/3*'Inputs'!E175</x:f>
        <x:v>1827690.3092148723</x:v>
      </x:c>
      <x:c r="I54" s="52" t="n">
        <x:f>I37/3*'Inputs'!F175</x:f>
        <x:v>3109862.2017895</x:v>
      </x:c>
      <x:c r="J54" s="52" t="n">
        <x:f>J37/3*'Inputs'!F175</x:f>
        <x:v>4036404.6592424447</x:v>
      </x:c>
      <x:c r="K54" s="52" t="n">
        <x:f>K37/3*'Inputs'!F175</x:f>
        <x:v>5011606.305933133</x:v>
      </x:c>
      <x:c r="L54" s="52" t="n">
        <x:f>L37/3*'Inputs'!F175</x:f>
        <x:v>5987111.504899539</x:v>
      </x:c>
      <x:c r="M54" s="52" t="n">
        <x:f>M37/3*'Inputs'!G175</x:f>
        <x:v>9103775.99280682</x:v>
      </x:c>
      <x:c r="N54" s="52" t="n">
        <x:f>N37/3*'Inputs'!G175</x:f>
        <x:v>11535856.308589587</x:v>
      </x:c>
      <x:c r="O54" s="52" t="n">
        <x:f>O37/3*'Inputs'!G175</x:f>
        <x:v>14038956.858039398</x:v>
      </x:c>
      <x:c r="P54" s="52" t="n">
        <x:f>P37/3*'Inputs'!G175</x:f>
        <x:v>16577702.378030296</x:v>
      </x:c>
      <x:c r="Q54" s="52" t="n">
        <x:f>Q37/3*'Inputs'!H175</x:f>
        <x:v>21643040.485507406</x:v>
      </x:c>
      <x:c r="R54" s="52" t="n">
        <x:f>R37/3*'Inputs'!H175</x:f>
        <x:v>26236229.81136419</x:v>
      </x:c>
      <x:c r="S54" s="52" t="n">
        <x:f>S37/3*'Inputs'!H175</x:f>
        <x:v>30414285.16601982</x:v>
      </x:c>
      <x:c r="T54" s="52" t="n">
        <x:f>T37/3*'Inputs'!H175</x:f>
        <x:v>32986508.455769412</x:v>
      </x:c>
    </x:row>
    <x:row r="55" ht="25" customHeight="1">
      <x:c r="A55" s="2"/>
      <x:c r="B55" s="2"/>
      <x:c r="C55" s="60" t="str">
        <x:v>Funding required including reserve</x:v>
      </x:c>
      <x:c r="D55" s="40" t="n">
        <x:f>MAX(0,D54-D52)</x:f>
        <x:v>798907.96</x:v>
      </x:c>
      <x:c r="E55" s="40" t="n">
        <x:f>MAX(0,E54-E52)</x:f>
        <x:v>2032225.169725894</x:v>
      </x:c>
      <x:c r="F55" s="40" t="n">
        <x:f>MAX(0,F54-F52)</x:f>
        <x:v>3289284.3601393024</x:v>
      </x:c>
      <x:c r="G55" s="40" t="n">
        <x:f>MAX(0,G54-G52)</x:f>
        <x:v>4754293.689855263</x:v>
      </x:c>
      <x:c r="H55" s="40" t="n">
        <x:f>MAX(0,H54-H52)</x:f>
        <x:v>6537957.538573034</x:v>
      </x:c>
      <x:c r="I55" s="40" t="n">
        <x:f>MAX(0,I54-I52)</x:f>
        <x:v>10380105.751427732</x:v>
      </x:c>
      <x:c r="J55" s="40" t="n">
        <x:f>MAX(0,J54-J52)</x:f>
        <x:v>14103733.15314683</x:v>
      </x:c>
      <x:c r="K55" s="40" t="n">
        <x:f>MAX(0,K54-K52)</x:f>
        <x:v>18117999.614400677</x:v>
      </x:c>
      <x:c r="L55" s="40" t="n">
        <x:f>MAX(0,L54-L52)</x:f>
        <x:v>22295873.85014356</x:v>
      </x:c>
      <x:c r="M55" s="40" t="n">
        <x:f>MAX(0,M54-M52)</x:f>
        <x:v>30093624.840269126</x:v>
      </x:c>
      <x:c r="N55" s="40" t="n">
        <x:f>MAX(0,N54-N52)</x:f>
        <x:v>36253652.53972118</x:v>
      </x:c>
      <x:c r="O55" s="40" t="n">
        <x:f>MAX(0,O54-O52)</x:f>
        <x:v>41690932.581890196</x:v>
      </x:c>
      <x:c r="P55" s="40" t="n">
        <x:f>MAX(0,P54-P52)</x:f>
        <x:v>46293578.2711809</x:v>
      </x:c>
      <x:c r="Q55" s="40" t="n">
        <x:f>MAX(0,Q54-Q52)</x:f>
        <x:v>52615885.58613903</x:v>
      </x:c>
      <x:c r="R55" s="40" t="n">
        <x:f>MAX(0,R54-R52)</x:f>
        <x:v>51745377.31812796</x:v>
      </x:c>
      <x:c r="S55" s="40" t="n">
        <x:f>MAX(0,S54-S52)</x:f>
        <x:v>44286105.38793802</x:v>
      </x:c>
      <x:c r="T55" s="40" t="n">
        <x:f>MAX(0,T54-T52)</x:f>
        <x:v>37561051.14037274</x:v>
      </x:c>
    </x:row>
    <x:row r="56" ht="25" customHeight="1">
      <x:c r="A56" s="2"/>
      <x:c r="B56" s="2"/>
      <x:c r="C56" s="32" t="str">
        <x:v>Minimum funding gap after planned rounds</x:v>
      </x:c>
      <x:c r="D56" s="52" t="n">
        <x:f>MAX(0,D55-SUM('Funding'!$D$11:D11))</x:f>
        <x:v>0</x:v>
      </x:c>
      <x:c r="E56" s="52" t="n">
        <x:f>MAX(0,E55-SUM('Funding'!$D$11:E11))</x:f>
        <x:v>0</x:v>
      </x:c>
      <x:c r="F56" s="52" t="n">
        <x:f>MAX(0,F55-SUM('Funding'!$D$11:F11))</x:f>
        <x:v>0</x:v>
      </x:c>
      <x:c r="G56" s="52" t="n">
        <x:f>MAX(0,G55-SUM('Funding'!$D$11:G11))</x:f>
        <x:v>0</x:v>
      </x:c>
      <x:c r="H56" s="52" t="n">
        <x:f>MAX(0,H55-SUM('Funding'!$D$11:H11))</x:f>
        <x:v>687957.5385730341</x:v>
      </x:c>
      <x:c r="I56" s="52" t="n">
        <x:f>MAX(0,I55-SUM('Funding'!$D$11:I11))</x:f>
        <x:v>0</x:v>
      </x:c>
      <x:c r="J56" s="52" t="n">
        <x:f>MAX(0,J55-SUM('Funding'!$D$11:J11))</x:f>
        <x:v>0</x:v>
      </x:c>
      <x:c r="K56" s="52" t="n">
        <x:f>MAX(0,K55-SUM('Funding'!$D$11:K11))</x:f>
        <x:v>0</x:v>
      </x:c>
      <x:c r="L56" s="52" t="n">
        <x:f>MAX(0,L55-SUM('Funding'!$D$11:L11))</x:f>
        <x:v>0</x:v>
      </x:c>
      <x:c r="M56" s="52" t="n">
        <x:f>MAX(0,M55-SUM('Funding'!$D$11:M11))</x:f>
        <x:v>2793624.840269126</x:v>
      </x:c>
      <x:c r="N56" s="52" t="n">
        <x:f>MAX(0,N55-SUM('Funding'!$D$11:N11))</x:f>
        <x:v>8953652.539721183</x:v>
      </x:c>
      <x:c r="O56" s="52" t="n">
        <x:f>MAX(0,O55-SUM('Funding'!$D$11:O11))</x:f>
        <x:v>14390932.581890196</x:v>
      </x:c>
      <x:c r="P56" s="52" t="n">
        <x:f>MAX(0,P55-SUM('Funding'!$D$11:P11))</x:f>
        <x:v>18993578.271180898</x:v>
      </x:c>
      <x:c r="Q56" s="52" t="n">
        <x:f>MAX(0,Q55-SUM('Funding'!$D$11:Q11))</x:f>
        <x:v>25315885.58613903</x:v>
      </x:c>
      <x:c r="R56" s="52" t="n">
        <x:f>MAX(0,R55-SUM('Funding'!$D$11:R11))</x:f>
        <x:v>24445377.31812796</x:v>
      </x:c>
      <x:c r="S56" s="52" t="n">
        <x:f>MAX(0,S55-SUM('Funding'!$D$11:S11))</x:f>
        <x:v>16986105.387938023</x:v>
      </x:c>
      <x:c r="T56" s="52" t="n">
        <x:f>MAX(0,T55-SUM('Funding'!$D$11:T11))</x:f>
        <x:v>10261051.140372738</x:v>
      </x:c>
    </x:row>
    <x:row r="57" ht="25" customHeight="1">
      <x:c r="A57" s="2"/>
      <x:c r="B57" s="2"/>
      <x:c r="C57" s="32"/>
      <x:c r="D57" s="3"/>
      <x:c r="E57" s="3"/>
      <x:c r="F57" s="3"/>
      <x:c r="G57" s="3"/>
      <x:c r="H57" s="3"/>
      <x:c r="I57" s="3"/>
      <x:c r="J57" s="3"/>
      <x:c r="K57" s="3"/>
      <x:c r="L57" s="3"/>
      <x:c r="M57" s="3"/>
      <x:c r="N57" s="3"/>
      <x:c r="O57" s="3"/>
      <x:c r="P57" s="3"/>
      <x:c r="Q57" s="3"/>
      <x:c r="R57" s="3"/>
      <x:c r="S57" s="3"/>
      <x:c r="T57" s="3"/>
    </x:row>
    <x:row r="58" ht="25" customHeight="1">
      <x:c r="A58" s="2"/>
      <x:c r="B58" s="2"/>
      <x:c r="C58" s="32" t="str">
        <x:v>Customer-funded local compute, memo</x:v>
      </x:c>
      <x:c r="D58" s="52" t="n">
        <x:f>'Revenue'!D25</x:f>
        <x:v>0</x:v>
      </x:c>
      <x:c r="E58" s="52" t="n">
        <x:f>'Revenue'!E25</x:f>
        <x:v>0</x:v>
      </x:c>
      <x:c r="F58" s="52" t="n">
        <x:f>'Revenue'!F25</x:f>
        <x:v>0</x:v>
      </x:c>
      <x:c r="G58" s="52" t="n">
        <x:f>'Revenue'!G25</x:f>
        <x:v>0</x:v>
      </x:c>
      <x:c r="H58" s="52" t="n">
        <x:f>'Revenue'!H25</x:f>
        <x:v>0</x:v>
      </x:c>
      <x:c r="I58" s="52" t="n">
        <x:f>'Revenue'!I25</x:f>
        <x:v>0</x:v>
      </x:c>
      <x:c r="J58" s="52" t="n">
        <x:f>'Revenue'!J25</x:f>
        <x:v>0</x:v>
      </x:c>
      <x:c r="K58" s="52" t="n">
        <x:f>'Revenue'!K25</x:f>
        <x:v>0</x:v>
      </x:c>
      <x:c r="L58" s="52" t="n">
        <x:f>'Revenue'!L25</x:f>
        <x:v>0</x:v>
      </x:c>
      <x:c r="M58" s="52" t="n">
        <x:f>'Revenue'!M25</x:f>
        <x:v>0</x:v>
      </x:c>
      <x:c r="N58" s="52" t="n">
        <x:f>'Revenue'!N25</x:f>
        <x:v>0</x:v>
      </x:c>
      <x:c r="O58" s="52" t="n">
        <x:f>'Revenue'!O25</x:f>
        <x:v>0</x:v>
      </x:c>
      <x:c r="P58" s="52" t="n">
        <x:f>'Revenue'!P25</x:f>
        <x:v>0</x:v>
      </x:c>
      <x:c r="Q58" s="52" t="n">
        <x:f>'Revenue'!Q25</x:f>
        <x:v>0</x:v>
      </x:c>
      <x:c r="R58" s="52" t="n">
        <x:f>'Revenue'!R25</x:f>
        <x:v>0</x:v>
      </x:c>
      <x:c r="S58" s="52" t="n">
        <x:f>'Revenue'!S25</x:f>
        <x:v>0</x:v>
      </x:c>
      <x:c r="T58" s="52" t="n">
        <x:f>'Revenue'!T25</x:f>
        <x:v>0</x:v>
      </x:c>
    </x:row>
    <x:row r="59" ht="27" customHeight="1">
      <x:c r="A59" s="2"/>
      <x:c r="B59" s="2"/>
      <x:c r="C59" s="61" t="str">
        <x:v>Unit economics. Annual acquisition matched with annual new customers</x:v>
      </x:c>
      <x:c r="D59" s="15"/>
      <x:c r="E59" s="15"/>
      <x:c r="F59" s="15"/>
      <x:c r="G59" s="15"/>
      <x:c r="H59" s="15"/>
      <x:c r="I59" s="15"/>
      <x:c r="J59" s="15"/>
      <x:c r="K59" s="15"/>
      <x:c r="L59" s="15"/>
      <x:c r="M59" s="15"/>
      <x:c r="N59" s="15"/>
      <x:c r="O59" s="15"/>
      <x:c r="P59" s="15"/>
      <x:c r="Q59" s="15"/>
      <x:c r="R59" s="15"/>
      <x:c r="S59" s="15"/>
      <x:c r="T59" s="15"/>
    </x:row>
    <x:row r="60" ht="25" customHeight="1">
      <x:c r="A60" s="2"/>
      <x:c r="B60" s="2"/>
      <x:c r="C60" s="32" t="str">
        <x:v>Blended acquisition cost, annual</x:v>
      </x:c>
      <x:c r="D60" s="52" t="n">
        <x:f>IF(SUM('Revenue'!D8:D8)=0,0,(SUM(D24:D24)+SUM(D25:D25)+SUM(D26:D26)+SUM(D28:D28))/SUM('Revenue'!D8:D8))</x:f>
        <x:v>0</x:v>
      </x:c>
      <x:c r="E60" s="52" t="n">
        <x:f>IF(SUM('Revenue'!E8:H8)=0,0,(SUM(E24:H24)+SUM(E25:H25)+SUM(E26:H26)+SUM(E28:H28))/SUM('Revenue'!E8:H8))</x:f>
        <x:v>49614.63007539427</x:v>
      </x:c>
      <x:c r="F60" s="52" t="n">
        <x:f>IF(SUM('Revenue'!E8:H8)=0,0,(SUM(E24:H24)+SUM(E25:H25)+SUM(E26:H26)+SUM(E28:H28))/SUM('Revenue'!E8:H8))</x:f>
        <x:v>49614.63007539427</x:v>
      </x:c>
      <x:c r="G60" s="52" t="n">
        <x:f>IF(SUM('Revenue'!E8:H8)=0,0,(SUM(E24:H24)+SUM(E25:H25)+SUM(E26:H26)+SUM(E28:H28))/SUM('Revenue'!E8:H8))</x:f>
        <x:v>49614.63007539427</x:v>
      </x:c>
      <x:c r="H60" s="52" t="n">
        <x:f>IF(SUM('Revenue'!E8:H8)=0,0,(SUM(E24:H24)+SUM(E25:H25)+SUM(E26:H26)+SUM(E28:H28))/SUM('Revenue'!E8:H8))</x:f>
        <x:v>49614.63007539427</x:v>
      </x:c>
      <x:c r="I60" s="52" t="n">
        <x:f>IF(SUM('Revenue'!I8:L8)=0,0,(SUM(I24:L24)+SUM(I25:L25)+SUM(I26:L26)+SUM(I28:L28))/SUM('Revenue'!I8:L8))</x:f>
        <x:v>73681.91140793731</x:v>
      </x:c>
      <x:c r="J60" s="52" t="n">
        <x:f>IF(SUM('Revenue'!I8:L8)=0,0,(SUM(I24:L24)+SUM(I25:L25)+SUM(I26:L26)+SUM(I28:L28))/SUM('Revenue'!I8:L8))</x:f>
        <x:v>73681.91140793731</x:v>
      </x:c>
      <x:c r="K60" s="52" t="n">
        <x:f>IF(SUM('Revenue'!I8:L8)=0,0,(SUM(I24:L24)+SUM(I25:L25)+SUM(I26:L26)+SUM(I28:L28))/SUM('Revenue'!I8:L8))</x:f>
        <x:v>73681.91140793731</x:v>
      </x:c>
      <x:c r="L60" s="52" t="n">
        <x:f>IF(SUM('Revenue'!I8:L8)=0,0,(SUM(I24:L24)+SUM(I25:L25)+SUM(I26:L26)+SUM(I28:L28))/SUM('Revenue'!I8:L8))</x:f>
        <x:v>73681.91140793731</x:v>
      </x:c>
      <x:c r="M60" s="52" t="n">
        <x:f>IF(SUM('Revenue'!M8:P8)=0,0,(SUM(M24:P24)+SUM(M25:P25)+SUM(M26:P26)+SUM(M28:P28))/SUM('Revenue'!M8:P8))</x:f>
        <x:v>53294.69181550865</x:v>
      </x:c>
      <x:c r="N60" s="52" t="n">
        <x:f>IF(SUM('Revenue'!M8:P8)=0,0,(SUM(M24:P24)+SUM(M25:P25)+SUM(M26:P26)+SUM(M28:P28))/SUM('Revenue'!M8:P8))</x:f>
        <x:v>53294.69181550865</x:v>
      </x:c>
      <x:c r="O60" s="52" t="n">
        <x:f>IF(SUM('Revenue'!M8:P8)=0,0,(SUM(M24:P24)+SUM(M25:P25)+SUM(M26:P26)+SUM(M28:P28))/SUM('Revenue'!M8:P8))</x:f>
        <x:v>53294.69181550865</x:v>
      </x:c>
      <x:c r="P60" s="52" t="n">
        <x:f>IF(SUM('Revenue'!M8:P8)=0,0,(SUM(M24:P24)+SUM(M25:P25)+SUM(M26:P26)+SUM(M28:P28))/SUM('Revenue'!M8:P8))</x:f>
        <x:v>53294.69181550865</x:v>
      </x:c>
      <x:c r="Q60" s="52" t="n">
        <x:f>IF(SUM('Revenue'!Q8:T8)=0,0,(SUM(Q24:T24)+SUM(Q25:T25)+SUM(Q26:T26)+SUM(Q28:T28))/SUM('Revenue'!Q8:T8))</x:f>
        <x:v>44651.12832564104</x:v>
      </x:c>
      <x:c r="R60" s="52" t="n">
        <x:f>IF(SUM('Revenue'!Q8:T8)=0,0,(SUM(Q24:T24)+SUM(Q25:T25)+SUM(Q26:T26)+SUM(Q28:T28))/SUM('Revenue'!Q8:T8))</x:f>
        <x:v>44651.12832564104</x:v>
      </x:c>
      <x:c r="S60" s="52" t="n">
        <x:f>IF(SUM('Revenue'!Q8:T8)=0,0,(SUM(Q24:T24)+SUM(Q25:T25)+SUM(Q26:T26)+SUM(Q28:T28))/SUM('Revenue'!Q8:T8))</x:f>
        <x:v>44651.12832564104</x:v>
      </x:c>
      <x:c r="T60" s="52" t="n">
        <x:f>IF(SUM('Revenue'!Q8:T8)=0,0,(SUM(Q24:T24)+SUM(Q25:T25)+SUM(Q26:T26)+SUM(Q28:T28))/SUM('Revenue'!Q8:T8))</x:f>
        <x:v>44651.12832564104</x:v>
      </x:c>
    </x:row>
    <x:row r="61" ht="25" customHeight="1">
      <x:c r="A61" s="2"/>
      <x:c r="B61" s="2"/>
      <x:c r="C61" s="32" t="str">
        <x:v>Map subscription contribution / new customer</x:v>
      </x:c>
      <x:c r="D61" s="52" t="n">
        <x:f>'Pricing'!D36-'Pricing'!D34*'Compute'!D60-('Pricing'!D34*'Compute'!D68+'Compute'!D71)-'People'!D38*'Inputs'!D151</x:f>
        <x:v>-3222.935575448744</x:v>
      </x:c>
      <x:c r="E61" s="52" t="n">
        <x:f>'Pricing'!E36-'Pricing'!E34*'Compute'!E60-('Pricing'!E34*'Compute'!E68+'Compute'!E71)-'People'!E38*'Inputs'!E151</x:f>
        <x:v>2043.3273499215647</x:v>
      </x:c>
      <x:c r="F61" s="52" t="n">
        <x:f>'Pricing'!E36-'Pricing'!E34*'Compute'!E60-('Pricing'!E34*'Compute'!E68+'Compute'!E71)-'People'!F38*'Inputs'!E151</x:f>
        <x:v>2043.3273499215647</x:v>
      </x:c>
      <x:c r="G61" s="52" t="n">
        <x:f>'Pricing'!E36-'Pricing'!E34*'Compute'!E60-('Pricing'!E34*'Compute'!E68+'Compute'!E71)-'People'!G38*'Inputs'!E151</x:f>
        <x:v>2043.3273499215647</x:v>
      </x:c>
      <x:c r="H61" s="52" t="n">
        <x:f>'Pricing'!E36-'Pricing'!E34*'Compute'!E60-('Pricing'!E34*'Compute'!E68+'Compute'!E71)-'People'!H38*'Inputs'!E151</x:f>
        <x:v>2043.3273499215647</x:v>
      </x:c>
      <x:c r="I61" s="52" t="n">
        <x:f>'Pricing'!F36-'Pricing'!F34*'Compute'!F60-('Pricing'!F34*'Compute'!F68+'Compute'!F71)-'People'!I38*'Inputs'!F151</x:f>
        <x:v>9887.340021423533</x:v>
      </x:c>
      <x:c r="J61" s="52" t="n">
        <x:f>'Pricing'!F36-'Pricing'!F34*'Compute'!F60-('Pricing'!F34*'Compute'!F68+'Compute'!F71)-'People'!J38*'Inputs'!F151</x:f>
        <x:v>9887.340021423533</x:v>
      </x:c>
      <x:c r="K61" s="52" t="n">
        <x:f>'Pricing'!F36-'Pricing'!F34*'Compute'!F60-('Pricing'!F34*'Compute'!F68+'Compute'!F71)-'People'!K38*'Inputs'!F151</x:f>
        <x:v>9887.340021423533</x:v>
      </x:c>
      <x:c r="L61" s="52" t="n">
        <x:f>'Pricing'!F36-'Pricing'!F34*'Compute'!F60-('Pricing'!F34*'Compute'!F68+'Compute'!F71)-'People'!L38*'Inputs'!F151</x:f>
        <x:v>9887.340021423533</x:v>
      </x:c>
      <x:c r="M61" s="52" t="n">
        <x:f>'Pricing'!G36-'Pricing'!G34*'Compute'!G60-('Pricing'!G34*'Compute'!G68+'Compute'!G71)-'People'!M38*'Inputs'!G151</x:f>
        <x:v>15771.251672565832</x:v>
      </x:c>
      <x:c r="N61" s="52" t="n">
        <x:f>'Pricing'!G36-'Pricing'!G34*'Compute'!G60-('Pricing'!G34*'Compute'!G68+'Compute'!G71)-'People'!N38*'Inputs'!G151</x:f>
        <x:v>15771.251672565832</x:v>
      </x:c>
      <x:c r="O61" s="52" t="n">
        <x:f>'Pricing'!G36-'Pricing'!G34*'Compute'!G60-('Pricing'!G34*'Compute'!G68+'Compute'!G71)-'People'!O38*'Inputs'!G151</x:f>
        <x:v>15771.251672565832</x:v>
      </x:c>
      <x:c r="P61" s="52" t="n">
        <x:f>'Pricing'!G36-'Pricing'!G34*'Compute'!G60-('Pricing'!G34*'Compute'!G68+'Compute'!G71)-'People'!P38*'Inputs'!G151</x:f>
        <x:v>15771.251672565832</x:v>
      </x:c>
      <x:c r="Q61" s="52" t="n">
        <x:f>'Pricing'!H36-'Pricing'!H34*'Compute'!H60-('Pricing'!H34*'Compute'!H68+'Compute'!H71)-'People'!Q38*'Inputs'!H151</x:f>
        <x:v>23317.146387726036</x:v>
      </x:c>
      <x:c r="R61" s="52" t="n">
        <x:f>'Pricing'!H36-'Pricing'!H34*'Compute'!H60-('Pricing'!H34*'Compute'!H68+'Compute'!H71)-'People'!R38*'Inputs'!H151</x:f>
        <x:v>23317.146387726036</x:v>
      </x:c>
      <x:c r="S61" s="52" t="n">
        <x:f>'Pricing'!H36-'Pricing'!H34*'Compute'!H60-('Pricing'!H34*'Compute'!H68+'Compute'!H71)-'People'!S38*'Inputs'!H151</x:f>
        <x:v>23317.146387726036</x:v>
      </x:c>
      <x:c r="T61" s="52" t="n">
        <x:f>'Pricing'!H36-'Pricing'!H34*'Compute'!H60-('Pricing'!H34*'Compute'!H68+'Compute'!H71)-'People'!T38*'Inputs'!H151</x:f>
        <x:v>23317.146387726036</x:v>
      </x:c>
    </x:row>
    <x:row r="62" ht="25" customHeight="1">
      <x:c r="A62" s="2"/>
      <x:c r="B62" s="2"/>
      <x:c r="C62" s="32" t="str">
        <x:v>Subscription-only CAC payback, months</x:v>
      </x:c>
      <x:c r="D62" s="52" t="n">
        <x:f>IF(('Pricing'!D36-'Pricing'!D34*'Compute'!D68-'Compute'!D71-'Inputs'!D79*4*'Inputs'!D151)&lt;=0,0,D60/('Pricing'!D36-'Pricing'!D34*'Compute'!D68-'Compute'!D71-'Inputs'!D79*4*'Inputs'!D151)*12)</x:f>
        <x:v>0</x:v>
      </x:c>
      <x:c r="E62" s="52" t="n">
        <x:f>IF(('Pricing'!E36-'Pricing'!E34*'Compute'!E68-'Compute'!E71-'Inputs'!E79*4*'Inputs'!E151)&lt;=0,0,E60/('Pricing'!E36-'Pricing'!E34*'Compute'!E68-'Compute'!E71-'Inputs'!E79*4*'Inputs'!E151)*12)</x:f>
        <x:v>36.269402445986884</x:v>
      </x:c>
      <x:c r="F62" s="52" t="n">
        <x:f>IF(('Pricing'!E36-'Pricing'!E34*'Compute'!E68-'Compute'!E71-'Inputs'!E79*4*'Inputs'!E151)&lt;=0,0,F60/('Pricing'!E36-'Pricing'!E34*'Compute'!E68-'Compute'!E71-'Inputs'!E79*4*'Inputs'!E151)*12)</x:f>
        <x:v>36.269402445986884</x:v>
      </x:c>
      <x:c r="G62" s="52" t="n">
        <x:f>IF(('Pricing'!E36-'Pricing'!E34*'Compute'!E68-'Compute'!E71-'Inputs'!E79*4*'Inputs'!E151)&lt;=0,0,G60/('Pricing'!E36-'Pricing'!E34*'Compute'!E68-'Compute'!E71-'Inputs'!E79*4*'Inputs'!E151)*12)</x:f>
        <x:v>36.269402445986884</x:v>
      </x:c>
      <x:c r="H62" s="52" t="n">
        <x:f>IF(('Pricing'!E36-'Pricing'!E34*'Compute'!E68-'Compute'!E71-'Inputs'!E79*4*'Inputs'!E151)&lt;=0,0,H60/('Pricing'!E36-'Pricing'!E34*'Compute'!E68-'Compute'!E71-'Inputs'!E79*4*'Inputs'!E151)*12)</x:f>
        <x:v>36.269402445986884</x:v>
      </x:c>
      <x:c r="I62" s="52" t="n">
        <x:f>IF(('Pricing'!F36-'Pricing'!F34*'Compute'!F68-'Compute'!F71-'Inputs'!F79*4*'Inputs'!F151)&lt;=0,0,I60/('Pricing'!F36-'Pricing'!F34*'Compute'!F68-'Compute'!F71-'Inputs'!F79*4*'Inputs'!F151)*12)</x:f>
        <x:v>33.04198320406796</x:v>
      </x:c>
      <x:c r="J62" s="52" t="n">
        <x:f>IF(('Pricing'!F36-'Pricing'!F34*'Compute'!F68-'Compute'!F71-'Inputs'!F79*4*'Inputs'!F151)&lt;=0,0,J60/('Pricing'!F36-'Pricing'!F34*'Compute'!F68-'Compute'!F71-'Inputs'!F79*4*'Inputs'!F151)*12)</x:f>
        <x:v>33.04198320406796</x:v>
      </x:c>
      <x:c r="K62" s="52" t="n">
        <x:f>IF(('Pricing'!F36-'Pricing'!F34*'Compute'!F68-'Compute'!F71-'Inputs'!F79*4*'Inputs'!F151)&lt;=0,0,K60/('Pricing'!F36-'Pricing'!F34*'Compute'!F68-'Compute'!F71-'Inputs'!F79*4*'Inputs'!F151)*12)</x:f>
        <x:v>33.04198320406796</x:v>
      </x:c>
      <x:c r="L62" s="52" t="n">
        <x:f>IF(('Pricing'!F36-'Pricing'!F34*'Compute'!F68-'Compute'!F71-'Inputs'!F79*4*'Inputs'!F151)&lt;=0,0,L60/('Pricing'!F36-'Pricing'!F34*'Compute'!F68-'Compute'!F71-'Inputs'!F79*4*'Inputs'!F151)*12)</x:f>
        <x:v>33.04198320406796</x:v>
      </x:c>
      <x:c r="M62" s="52" t="n">
        <x:f>IF(('Pricing'!G36-'Pricing'!G34*'Compute'!G68-'Compute'!G71-'Inputs'!G79*4*'Inputs'!G151)&lt;=0,0,M60/('Pricing'!G36-'Pricing'!G34*'Compute'!G68-'Compute'!G71-'Inputs'!G79*4*'Inputs'!G151)*12)</x:f>
        <x:v>21.080757299050564</x:v>
      </x:c>
      <x:c r="N62" s="52" t="n">
        <x:f>IF(('Pricing'!G36-'Pricing'!G34*'Compute'!G68-'Compute'!G71-'Inputs'!G79*4*'Inputs'!G151)&lt;=0,0,N60/('Pricing'!G36-'Pricing'!G34*'Compute'!G68-'Compute'!G71-'Inputs'!G79*4*'Inputs'!G151)*12)</x:f>
        <x:v>21.080757299050564</x:v>
      </x:c>
      <x:c r="O62" s="52" t="n">
        <x:f>IF(('Pricing'!G36-'Pricing'!G34*'Compute'!G68-'Compute'!G71-'Inputs'!G79*4*'Inputs'!G151)&lt;=0,0,O60/('Pricing'!G36-'Pricing'!G34*'Compute'!G68-'Compute'!G71-'Inputs'!G79*4*'Inputs'!G151)*12)</x:f>
        <x:v>21.080757299050564</x:v>
      </x:c>
      <x:c r="P62" s="52" t="n">
        <x:f>IF(('Pricing'!G36-'Pricing'!G34*'Compute'!G68-'Compute'!G71-'Inputs'!G79*4*'Inputs'!G151)&lt;=0,0,P60/('Pricing'!G36-'Pricing'!G34*'Compute'!G68-'Compute'!G71-'Inputs'!G79*4*'Inputs'!G151)*12)</x:f>
        <x:v>21.080757299050564</x:v>
      </x:c>
      <x:c r="Q62" s="52" t="n">
        <x:f>IF(('Pricing'!H36-'Pricing'!H34*'Compute'!H68-'Compute'!H71-'Inputs'!H79*4*'Inputs'!H151)&lt;=0,0,Q60/('Pricing'!H36-'Pricing'!H34*'Compute'!H68-'Compute'!H71-'Inputs'!H79*4*'Inputs'!H151)*12)</x:f>
        <x:v>14.358507857078713</x:v>
      </x:c>
      <x:c r="R62" s="52" t="n">
        <x:f>IF(('Pricing'!H36-'Pricing'!H34*'Compute'!H68-'Compute'!H71-'Inputs'!H79*4*'Inputs'!H151)&lt;=0,0,R60/('Pricing'!H36-'Pricing'!H34*'Compute'!H68-'Compute'!H71-'Inputs'!H79*4*'Inputs'!H151)*12)</x:f>
        <x:v>14.358507857078713</x:v>
      </x:c>
      <x:c r="S62" s="52" t="n">
        <x:f>IF(('Pricing'!H36-'Pricing'!H34*'Compute'!H68-'Compute'!H71-'Inputs'!H79*4*'Inputs'!H151)&lt;=0,0,S60/('Pricing'!H36-'Pricing'!H34*'Compute'!H68-'Compute'!H71-'Inputs'!H79*4*'Inputs'!H151)*12)</x:f>
        <x:v>14.358507857078713</x:v>
      </x:c>
      <x:c r="T62" s="52" t="n">
        <x:f>IF(('Pricing'!H36-'Pricing'!H34*'Compute'!H68-'Compute'!H71-'Inputs'!H79*4*'Inputs'!H151)&lt;=0,0,T60/('Pricing'!H36-'Pricing'!H34*'Compute'!H68-'Compute'!H71-'Inputs'!H79*4*'Inputs'!H151)*12)</x:f>
        <x:v>14.358507857078713</x:v>
      </x:c>
    </x:row>
    <x:row r="63" ht="25" customHeight="1">
      <x:c r="A63" s="2"/>
      <x:c r="B63" s="2"/>
      <x:c r="C63" s="32" t="str">
        <x:v>Net revenue retention at anniversaries</x:v>
      </x:c>
      <x:c r="D63" s="23" t="n">
        <x:f>IF((0)=0,0,(0)/(0))</x:f>
        <x:v>0</x:v>
      </x:c>
      <x:c r="E63" s="23" t="n">
        <x:f>IF((0)=0,0,(0)/(0))</x:f>
        <x:v>0</x:v>
      </x:c>
      <x:c r="F63" s="23" t="n">
        <x:f>IF((0)=0,0,(0)/(0))</x:f>
        <x:v>0</x:v>
      </x:c>
      <x:c r="G63" s="23" t="n">
        <x:f>IF((0)=0,0,(0)/(0))</x:f>
        <x:v>0</x:v>
      </x:c>
      <x:c r="H63" s="58" t="n">
        <x:f>IF(('Revenue'!G30*'Revenue'!G50)=0,0,('Revenue'!H30*'Revenue'!H50)/('Revenue'!G30*'Revenue'!G50))</x:f>
        <x:v>0</x:v>
      </x:c>
      <x:c r="I63" s="58" t="n">
        <x:f>IF(('Revenue'!H31*'Revenue'!H51)=0,0,('Revenue'!I31*'Revenue'!I51)/('Revenue'!H31*'Revenue'!H51))</x:f>
        <x:v>1.1185548617305976</x:v>
      </x:c>
      <x:c r="J63" s="58" t="n">
        <x:f>IF(('Revenue'!I32*'Revenue'!I52)=0,0,('Revenue'!J32*'Revenue'!J52)/('Revenue'!I32*'Revenue'!I52))</x:f>
        <x:v>1.1185548617305976</x:v>
      </x:c>
      <x:c r="K63" s="58" t="n">
        <x:f>IF(('Revenue'!J33*'Revenue'!J53)=0,0,('Revenue'!K33*'Revenue'!K53)/('Revenue'!J33*'Revenue'!J53))</x:f>
        <x:v>1.1185548617305976</x:v>
      </x:c>
      <x:c r="L63" s="58" t="n">
        <x:f>IF(('Revenue'!K30*'Revenue'!K50+'Revenue'!K34*'Revenue'!K54)=0,0,('Revenue'!L30*'Revenue'!L50+'Revenue'!L34*'Revenue'!L54)/('Revenue'!K30*'Revenue'!K50+'Revenue'!K34*'Revenue'!K54))</x:f>
        <x:v>1.1185548617305974</x:v>
      </x:c>
      <x:c r="M63" s="58" t="n">
        <x:f>IF(('Revenue'!L31*'Revenue'!L51+'Revenue'!L35*'Revenue'!L55)=0,0,('Revenue'!M31*'Revenue'!M51+'Revenue'!M35*'Revenue'!M55)/('Revenue'!L31*'Revenue'!L51+'Revenue'!L35*'Revenue'!L55))</x:f>
        <x:v>1.1234875957978254</x:v>
      </x:c>
      <x:c r="N63" s="58" t="n">
        <x:f>IF(('Revenue'!M32*'Revenue'!M52+'Revenue'!M36*'Revenue'!M56)=0,0,('Revenue'!N32*'Revenue'!N52+'Revenue'!N36*'Revenue'!N56)/('Revenue'!M32*'Revenue'!M52+'Revenue'!M36*'Revenue'!M56))</x:f>
        <x:v>1.120746647016385</x:v>
      </x:c>
      <x:c r="O63" s="58" t="n">
        <x:f>IF(('Revenue'!N33*'Revenue'!N53+'Revenue'!N37*'Revenue'!N57)=0,0,('Revenue'!O33*'Revenue'!O53+'Revenue'!O37*'Revenue'!O57)/('Revenue'!N33*'Revenue'!N53+'Revenue'!N37*'Revenue'!N57))</x:f>
        <x:v>1.1254125554584</x:v>
      </x:c>
      <x:c r="P63" s="58" t="n">
        <x:f>IF(('Revenue'!O30*'Revenue'!O50+'Revenue'!O34*'Revenue'!O54+'Revenue'!O38*'Revenue'!O58)=0,0,('Revenue'!P30*'Revenue'!P50+'Revenue'!P34*'Revenue'!P54+'Revenue'!P38*'Revenue'!P58)/('Revenue'!O30*'Revenue'!O50+'Revenue'!O34*'Revenue'!O54+'Revenue'!O38*'Revenue'!O58))</x:f>
        <x:v>1.128050704988452</x:v>
      </x:c>
      <x:c r="Q63" s="58" t="n">
        <x:f>IF(('Revenue'!P31*'Revenue'!P51+'Revenue'!P35*'Revenue'!P55+'Revenue'!P39*'Revenue'!P59)=0,0,('Revenue'!Q31*'Revenue'!Q51+'Revenue'!Q35*'Revenue'!Q55+'Revenue'!Q39*'Revenue'!Q59)/('Revenue'!P31*'Revenue'!P51+'Revenue'!P35*'Revenue'!P55+'Revenue'!P39*'Revenue'!P59))</x:f>
        <x:v>1.1184925054326507</x:v>
      </x:c>
      <x:c r="R63" s="58" t="n">
        <x:f>IF(('Revenue'!Q32*'Revenue'!Q52+'Revenue'!Q36*'Revenue'!Q56+'Revenue'!Q40*'Revenue'!Q60)=0,0,('Revenue'!R32*'Revenue'!R52+'Revenue'!R36*'Revenue'!R56+'Revenue'!R40*'Revenue'!R60)/('Revenue'!Q32*'Revenue'!Q52+'Revenue'!Q36*'Revenue'!Q56+'Revenue'!Q40*'Revenue'!Q60))</x:f>
        <x:v>1.1190694137985993</x:v>
      </x:c>
      <x:c r="S63" s="58" t="n">
        <x:f>IF(('Revenue'!R33*'Revenue'!R53+'Revenue'!R37*'Revenue'!R57+'Revenue'!R41*'Revenue'!R61)=0,0,('Revenue'!S33*'Revenue'!S53+'Revenue'!S37*'Revenue'!S57+'Revenue'!S41*'Revenue'!S61)/('Revenue'!R33*'Revenue'!R53+'Revenue'!R37*'Revenue'!R57+'Revenue'!R41*'Revenue'!R61))</x:f>
        <x:v>1.1208290019087712</x:v>
      </x:c>
      <x:c r="T63" s="58" t="n">
        <x:f>IF(('Revenue'!S30*'Revenue'!S50+'Revenue'!S34*'Revenue'!S54+'Revenue'!S38*'Revenue'!S58+'Revenue'!S42*'Revenue'!S62)=0,0,('Revenue'!T30*'Revenue'!T50+'Revenue'!T34*'Revenue'!T54+'Revenue'!T38*'Revenue'!T58+'Revenue'!T42*'Revenue'!T62)/('Revenue'!S30*'Revenue'!S50+'Revenue'!S34*'Revenue'!S54+'Revenue'!S38*'Revenue'!S58+'Revenue'!S42*'Revenue'!S62))</x:f>
        <x:v>1.1203571842955968</x:v>
      </x:c>
    </x:row>
    <x:row r="64" ht="25" customHeight="1">
      <x:c r="A64" s="2"/>
      <x:c r="B64" s="2"/>
      <x:c r="C64" s="32"/>
      <x:c r="D64" s="3"/>
      <x:c r="E64" s="3"/>
      <x:c r="F64" s="3"/>
      <x:c r="G64" s="3"/>
      <x:c r="H64" s="3"/>
      <x:c r="I64" s="3"/>
      <x:c r="J64" s="3"/>
      <x:c r="K64" s="3"/>
      <x:c r="L64" s="3"/>
      <x:c r="M64" s="3"/>
      <x:c r="N64" s="3"/>
      <x:c r="O64" s="3"/>
      <x:c r="P64" s="3"/>
      <x:c r="Q64" s="3"/>
      <x:c r="R64" s="3"/>
      <x:c r="S64" s="3"/>
      <x:c r="T64" s="3"/>
    </x:row>
    <x:row r="65" ht="25" customHeight="1">
      <x:c r="A65" s="2"/>
      <x:c r="B65" s="2"/>
      <x:c r="C65" s="32"/>
      <x:c r="D65" s="3"/>
      <x:c r="E65" s="3"/>
      <x:c r="F65" s="3"/>
      <x:c r="G65" s="3"/>
      <x:c r="H65" s="3"/>
      <x:c r="I65" s="3"/>
      <x:c r="J65" s="3"/>
      <x:c r="K65" s="3"/>
      <x:c r="L65" s="3"/>
      <x:c r="M65" s="3"/>
      <x:c r="N65" s="3"/>
      <x:c r="O65" s="3"/>
      <x:c r="P65" s="3"/>
      <x:c r="Q65" s="3"/>
      <x:c r="R65" s="3"/>
      <x:c r="S65" s="3"/>
      <x:c r="T65" s="3"/>
    </x:row>
    <x:row r="66" ht="27" customHeight="1">
      <x:c r="A66" s="2"/>
      <x:c r="B66" s="2"/>
      <x:c r="C66" s="61" t="str">
        <x:v>Revenue split, EUR</x:v>
      </x:c>
      <x:c r="D66" s="15"/>
      <x:c r="E66" s="15"/>
      <x:c r="F66" s="15"/>
      <x:c r="G66" s="15"/>
      <x:c r="H66" s="15"/>
      <x:c r="I66" s="15"/>
      <x:c r="J66" s="15"/>
      <x:c r="K66" s="15"/>
      <x:c r="L66" s="15"/>
      <x:c r="M66" s="15"/>
      <x:c r="N66" s="15"/>
      <x:c r="O66" s="15"/>
      <x:c r="P66" s="15"/>
      <x:c r="Q66" s="15"/>
      <x:c r="R66" s="15"/>
      <x:c r="S66" s="15"/>
      <x:c r="T66" s="15"/>
    </x:row>
    <x:row r="67" ht="25" customHeight="1">
      <x:c r="A67" s="2"/>
      <x:c r="B67" s="2"/>
      <x:c r="C67" s="32" t="str">
        <x:v>Recurring platform revenue</x:v>
      </x:c>
      <x:c r="D67" s="52" t="n">
        <x:f>'Revenue'!D17</x:f>
        <x:v>0</x:v>
      </x:c>
      <x:c r="E67" s="52" t="n">
        <x:f>'Revenue'!E17</x:f>
        <x:v>20285.159737171565</x:v>
      </x:c>
      <x:c r="F67" s="52" t="n">
        <x:f>'Revenue'!F17</x:f>
        <x:v>57052.01176079502</x:v>
      </x:c>
      <x:c r="G67" s="52" t="n">
        <x:f>'Revenue'!G17</x:f>
        <x:v>88747.5738501256</x:v>
      </x:c>
      <x:c r="H67" s="52" t="n">
        <x:f>'Revenue'!H17</x:f>
        <x:v>126782.24835732229</x:v>
      </x:c>
      <x:c r="I67" s="52" t="n">
        <x:f>'Revenue'!I17</x:f>
        <x:v>210675.97626980802</x:v>
      </x:c>
      <x:c r="J67" s="52" t="n">
        <x:f>'Revenue'!J17</x:f>
        <x:v>335998.0191294714</x:v>
      </x:c>
      <x:c r="K67" s="52" t="n">
        <x:f>'Revenue'!K17</x:f>
        <x:v>488408.55396273383</x:v>
      </x:c>
      <x:c r="L67" s="52" t="n">
        <x:f>'Revenue'!L17</x:f>
        <x:v>719651.5542773962</x:v>
      </x:c>
      <x:c r="M67" s="52" t="n">
        <x:f>'Revenue'!M17</x:f>
        <x:v>1128029.8927048624</x:v>
      </x:c>
      <x:c r="N67" s="52" t="n">
        <x:f>'Revenue'!N17</x:f>
        <x:v>1804553.7174212306</x:v>
      </x:c>
      <x:c r="O67" s="52" t="n">
        <x:f>'Revenue'!O17</x:f>
        <x:v>2626103.057191792</x:v>
      </x:c>
      <x:c r="P67" s="52" t="n">
        <x:f>'Revenue'!P17</x:f>
        <x:v>3759641.1294146553</x:v>
      </x:c>
      <x:c r="Q67" s="52" t="n">
        <x:f>'Revenue'!Q17</x:f>
        <x:v>5554275.444035694</x:v>
      </x:c>
      <x:c r="R67" s="52" t="n">
        <x:f>'Revenue'!R17</x:f>
        <x:v>8120873.47358697</x:v>
      </x:c>
      <x:c r="S67" s="52" t="n">
        <x:f>'Revenue'!S17</x:f>
        <x:v>11016356.506422177</x:v>
      </x:c>
      <x:c r="T67" s="52" t="n">
        <x:f>'Revenue'!T17</x:f>
        <x:v>13510067.366323832</x:v>
      </x:c>
    </x:row>
    <x:row r="68" ht="25" customHeight="1">
      <x:c r="A68" s="2"/>
      <x:c r="B68" s="2"/>
      <x:c r="C68" s="32" t="str">
        <x:v>Initial mapping revenue</x:v>
      </x:c>
      <x:c r="D68" s="52" t="n">
        <x:f>'Revenue'!D171</x:f>
        <x:v>0</x:v>
      </x:c>
      <x:c r="E68" s="52" t="n">
        <x:f>'Revenue'!E171</x:f>
        <x:v>66987.20440513754</x:v>
      </x:c>
      <x:c r="F68" s="52" t="n">
        <x:f>'Revenue'!F171</x:f>
        <x:v>280001.49833185447</x:v>
      </x:c>
      <x:c r="G68" s="52" t="n">
        <x:f>'Revenue'!G171</x:f>
        <x:v>241380.6020102193</x:v>
      </x:c>
      <x:c r="H68" s="52" t="n">
        <x:f>'Revenue'!H171</x:f>
        <x:v>289656.72241226316</x:v>
      </x:c>
      <x:c r="I68" s="52" t="n">
        <x:f>'Revenue'!I171</x:f>
        <x:v>405760.79197917867</x:v>
      </x:c>
      <x:c r="J68" s="52" t="n">
        <x:f>'Revenue'!J171</x:f>
        <x:v>1172307.5078416332</x:v>
      </x:c>
      <x:c r="K68" s="52" t="n">
        <x:f>'Revenue'!K171</x:f>
        <x:v>1552495.5076747935</x:v>
      </x:c>
      <x:c r="L68" s="52" t="n">
        <x:f>'Revenue'!L171</x:f>
        <x:v>2367954.341593525</x:v>
      </x:c>
      <x:c r="M68" s="52" t="n">
        <x:f>'Revenue'!M171</x:f>
        <x:v>3717585.0359876114</x:v>
      </x:c>
      <x:c r="N68" s="52" t="n">
        <x:f>'Revenue'!N171</x:f>
        <x:v>6861053.031145866</x:v>
      </x:c>
      <x:c r="O68" s="52" t="n">
        <x:f>'Revenue'!O171</x:f>
        <x:v>8338929.074323292</x:v>
      </x:c>
      <x:c r="P68" s="52" t="n">
        <x:f>'Revenue'!P171</x:f>
        <x:v>11478290.60818618</x:v>
      </x:c>
      <x:c r="Q68" s="52" t="n">
        <x:f>'Revenue'!Q171</x:f>
        <x:v>15019072.796895063</x:v>
      </x:c>
      <x:c r="R68" s="52" t="n">
        <x:f>'Revenue'!R171</x:f>
        <x:v>26096422.854172643</x:v>
      </x:c>
      <x:c r="S68" s="52" t="n">
        <x:f>'Revenue'!S171</x:f>
        <x:v>29346655.172840964</x:v>
      </x:c>
      <x:c r="T68" s="52" t="n">
        <x:f>'Revenue'!T171</x:f>
        <x:v>24595506.50742866</x:v>
      </x:c>
    </x:row>
    <x:row r="69" ht="25" customHeight="1">
      <x:c r="A69" s="2"/>
      <x:c r="B69" s="2"/>
      <x:c r="C69" s="32"/>
      <x:c r="D69" s="3"/>
      <x:c r="E69" s="3"/>
      <x:c r="F69" s="3"/>
      <x:c r="G69" s="3"/>
      <x:c r="H69" s="3"/>
      <x:c r="I69" s="3"/>
      <x:c r="J69" s="3"/>
      <x:c r="K69" s="3"/>
      <x:c r="L69" s="3"/>
      <x:c r="M69" s="3"/>
      <x:c r="N69" s="3"/>
      <x:c r="O69" s="3"/>
      <x:c r="P69" s="3"/>
      <x:c r="Q69" s="3"/>
      <x:c r="R69" s="3"/>
      <x:c r="S69" s="3"/>
      <x:c r="T69" s="3"/>
    </x:row>
    <x:row r="70" ht="25" customHeight="1">
      <x:c r="A70" s="2"/>
      <x:c r="B70" s="2"/>
      <x:c r="C70" s="32"/>
      <x:c r="D70" s="3"/>
      <x:c r="E70" s="3"/>
      <x:c r="F70" s="3"/>
      <x:c r="G70" s="3"/>
      <x:c r="H70" s="3"/>
      <x:c r="I70" s="3"/>
      <x:c r="J70" s="3"/>
      <x:c r="K70" s="3"/>
      <x:c r="L70" s="3"/>
      <x:c r="M70" s="3"/>
      <x:c r="N70" s="3"/>
      <x:c r="O70" s="3"/>
      <x:c r="P70" s="3"/>
      <x:c r="Q70" s="3"/>
      <x:c r="R70" s="3"/>
      <x:c r="S70" s="3"/>
      <x:c r="T70" s="3"/>
    </x:row>
    <x:row r="71" ht="42" customHeight="1">
      <x:c r="A71" s="2"/>
      <x:c r="B71" s="2"/>
      <x:c r="C71" s="36" t="str">
        <x:v>Initial mapping is recognised on accepted completion and billed separately. The model assumes it is a distinct deliverable. Half of invoices are collected in the invoice quarter, half in the following quarter.</x:v>
      </x:c>
      <x:c r="D71" s="18"/>
      <x:c r="E71" s="18"/>
      <x:c r="F71" s="18"/>
      <x:c r="G71" s="18"/>
      <x:c r="H71" s="18"/>
      <x:c r="I71" s="18"/>
      <x:c r="J71" s="18"/>
      <x:c r="K71" s="18"/>
      <x:c r="L71" s="18"/>
      <x:c r="M71" s="3"/>
      <x:c r="N71" s="3"/>
      <x:c r="O71" s="3"/>
      <x:c r="P71" s="3"/>
      <x:c r="Q71" s="3"/>
      <x:c r="R71" s="3"/>
      <x:c r="S71" s="3"/>
      <x:c r="T71" s="3"/>
    </x:row>
    <x:row r="72" ht="25" customHeight="1">
      <x:c r="A72" s="2"/>
      <x:c r="B72" s="2"/>
      <x:c r="C72" s="32"/>
      <x:c r="D72" s="3"/>
      <x:c r="E72" s="3"/>
      <x:c r="F72" s="3"/>
      <x:c r="G72" s="3"/>
      <x:c r="H72" s="3"/>
      <x:c r="I72" s="3"/>
      <x:c r="J72" s="3"/>
      <x:c r="K72" s="3"/>
      <x:c r="L72" s="3"/>
      <x:c r="M72" s="3"/>
      <x:c r="N72" s="3"/>
      <x:c r="O72" s="3"/>
      <x:c r="P72" s="3"/>
      <x:c r="Q72" s="3"/>
      <x:c r="R72" s="3"/>
      <x:c r="S72" s="3"/>
      <x:c r="T72" s="3"/>
    </x:row>
    <x:row r="73" ht="42" customHeight="1">
      <x:c r="A73" s="2"/>
      <x:c r="B73" s="2"/>
      <x:c r="C73" s="36" t="str">
        <x:v>Direct commissions and partner shares apply to both mapping and subscription revenue. Subscription-only CAC payback excludes the cash contribution from initial mapping.</x:v>
      </x:c>
      <x:c r="D73" s="18"/>
      <x:c r="E73" s="18"/>
      <x:c r="F73" s="18"/>
      <x:c r="G73" s="18"/>
      <x:c r="H73" s="18"/>
      <x:c r="I73" s="18"/>
      <x:c r="J73" s="18"/>
      <x:c r="K73" s="18"/>
      <x:c r="L73" s="18"/>
      <x:c r="M73" s="3"/>
      <x:c r="N73" s="3"/>
      <x:c r="O73" s="3"/>
      <x:c r="P73" s="3"/>
      <x:c r="Q73" s="3"/>
      <x:c r="R73" s="3"/>
      <x:c r="S73" s="3"/>
      <x:c r="T73" s="3"/>
    </x:row>
    <x:row r="74" ht="25" customHeight="1">
      <x:c r="A74" s="2"/>
      <x:c r="B74" s="2"/>
      <x:c r="C74" s="32"/>
      <x:c r="D74" s="3"/>
      <x:c r="E74" s="3"/>
      <x:c r="F74" s="3"/>
      <x:c r="G74" s="3"/>
      <x:c r="H74" s="3"/>
      <x:c r="I74" s="3"/>
      <x:c r="J74" s="3"/>
      <x:c r="K74" s="3"/>
      <x:c r="L74" s="3"/>
      <x:c r="M74" s="3"/>
      <x:c r="N74" s="3"/>
      <x:c r="O74" s="3"/>
      <x:c r="P74" s="3"/>
      <x:c r="Q74" s="3"/>
      <x:c r="R74" s="3"/>
      <x:c r="S74" s="3"/>
      <x:c r="T74" s="3"/>
    </x:row>
    <x:row r="75" ht="25" customHeight="1">
      <x:c r="A75" s="2"/>
      <x:c r="B75" s="2"/>
      <x:c r="C75" s="32"/>
      <x:c r="D75" s="3"/>
      <x:c r="E75" s="3"/>
      <x:c r="F75" s="3"/>
      <x:c r="G75" s="3"/>
      <x:c r="H75" s="3"/>
      <x:c r="I75" s="3"/>
      <x:c r="J75" s="3"/>
      <x:c r="K75" s="3"/>
      <x:c r="L75" s="3"/>
      <x:c r="M75" s="3"/>
      <x:c r="N75" s="3"/>
      <x:c r="O75" s="3"/>
      <x:c r="P75" s="3"/>
      <x:c r="Q75" s="3"/>
      <x:c r="R75" s="3"/>
      <x:c r="S75" s="3"/>
      <x:c r="T75" s="3"/>
    </x:row>
    <x:row r="76" ht="25" customHeight="1">
      <x:c r="A76" s="2"/>
      <x:c r="B76" s="2"/>
      <x:c r="C76" s="32"/>
      <x:c r="D76" s="3"/>
      <x:c r="E76" s="3"/>
      <x:c r="F76" s="3"/>
      <x:c r="G76" s="3"/>
      <x:c r="H76" s="3"/>
      <x:c r="I76" s="3"/>
      <x:c r="J76" s="3"/>
      <x:c r="K76" s="3"/>
      <x:c r="L76" s="3"/>
      <x:c r="M76" s="3"/>
      <x:c r="N76" s="3"/>
      <x:c r="O76" s="3"/>
      <x:c r="P76" s="3"/>
      <x:c r="Q76" s="3"/>
      <x:c r="R76" s="3"/>
      <x:c r="S76" s="3"/>
      <x:c r="T76" s="3"/>
    </x:row>
    <x:row r="77" ht="25" customHeight="1">
      <x:c r="A77" s="2"/>
      <x:c r="B77" s="2"/>
      <x:c r="C77" s="32"/>
      <x:c r="D77" s="3"/>
      <x:c r="E77" s="3"/>
      <x:c r="F77" s="3"/>
      <x:c r="G77" s="3"/>
      <x:c r="H77" s="3"/>
      <x:c r="I77" s="3"/>
      <x:c r="J77" s="3"/>
      <x:c r="K77" s="3"/>
      <x:c r="L77" s="3"/>
      <x:c r="M77" s="3"/>
      <x:c r="N77" s="3"/>
      <x:c r="O77" s="3"/>
      <x:c r="P77" s="3"/>
      <x:c r="Q77" s="3"/>
      <x:c r="R77" s="3"/>
      <x:c r="S77" s="3"/>
      <x:c r="T77" s="3"/>
    </x:row>
    <x:row r="78" ht="25" customHeight="1">
      <x:c r="A78" s="2"/>
      <x:c r="B78" s="2"/>
      <x:c r="C78" s="32"/>
      <x:c r="D78" s="3"/>
      <x:c r="E78" s="3"/>
      <x:c r="F78" s="3"/>
      <x:c r="G78" s="3"/>
      <x:c r="H78" s="3"/>
      <x:c r="I78" s="3"/>
      <x:c r="J78" s="3"/>
      <x:c r="K78" s="3"/>
      <x:c r="L78" s="3"/>
      <x:c r="M78" s="3"/>
      <x:c r="N78" s="3"/>
      <x:c r="O78" s="3"/>
      <x:c r="P78" s="3"/>
      <x:c r="Q78" s="3"/>
      <x:c r="R78" s="3"/>
      <x:c r="S78" s="3"/>
      <x:c r="T78" s="3"/>
    </x:row>
    <x:row r="79" ht="25" customHeight="1">
      <x:c r="A79" s="2"/>
      <x:c r="B79" s="2"/>
      <x:c r="C79" s="32"/>
      <x:c r="D79" s="3"/>
      <x:c r="E79" s="3"/>
      <x:c r="F79" s="3"/>
      <x:c r="G79" s="3"/>
      <x:c r="H79" s="3"/>
      <x:c r="I79" s="3"/>
      <x:c r="J79" s="3"/>
      <x:c r="K79" s="3"/>
      <x:c r="L79" s="3"/>
      <x:c r="M79" s="3"/>
      <x:c r="N79" s="3"/>
      <x:c r="O79" s="3"/>
      <x:c r="P79" s="3"/>
      <x:c r="Q79" s="3"/>
      <x:c r="R79" s="3"/>
      <x:c r="S79" s="3"/>
      <x:c r="T79" s="3"/>
    </x:row>
    <x:row r="80" ht="25" customHeight="1">
      <x:c r="A80" s="2"/>
      <x:c r="B80" s="2"/>
      <x:c r="C80" s="32"/>
      <x:c r="D80" s="3"/>
      <x:c r="E80" s="3"/>
      <x:c r="F80" s="3"/>
      <x:c r="G80" s="3"/>
      <x:c r="H80" s="3"/>
      <x:c r="I80" s="3"/>
      <x:c r="J80" s="3"/>
      <x:c r="K80" s="3"/>
      <x:c r="L80" s="3"/>
      <x:c r="M80" s="3"/>
      <x:c r="N80" s="3"/>
      <x:c r="O80" s="3"/>
      <x:c r="P80" s="3"/>
      <x:c r="Q80" s="3"/>
      <x:c r="R80" s="3"/>
      <x:c r="S80" s="3"/>
      <x:c r="T80" s="3"/>
    </x:row>
    <x:row r="81" ht="25" customHeight="1">
      <x:c r="A81" s="2"/>
      <x:c r="B81" s="2"/>
      <x:c r="C81" s="32"/>
      <x:c r="D81" s="3"/>
      <x:c r="E81" s="3"/>
      <x:c r="F81" s="3"/>
      <x:c r="G81" s="3"/>
      <x:c r="H81" s="3"/>
      <x:c r="I81" s="3"/>
      <x:c r="J81" s="3"/>
      <x:c r="K81" s="3"/>
      <x:c r="L81" s="3"/>
      <x:c r="M81" s="3"/>
      <x:c r="N81" s="3"/>
      <x:c r="O81" s="3"/>
      <x:c r="P81" s="3"/>
      <x:c r="Q81" s="3"/>
      <x:c r="R81" s="3"/>
      <x:c r="S81" s="3"/>
      <x:c r="T81" s="3"/>
    </x:row>
    <x:row r="82" ht="25" customHeight="1">
      <x:c r="A82" s="2"/>
      <x:c r="B82" s="2"/>
      <x:c r="C82" s="32"/>
      <x:c r="D82" s="3"/>
      <x:c r="E82" s="3"/>
      <x:c r="F82" s="3"/>
      <x:c r="G82" s="3"/>
      <x:c r="H82" s="3"/>
      <x:c r="I82" s="3"/>
      <x:c r="J82" s="3"/>
      <x:c r="K82" s="3"/>
      <x:c r="L82" s="3"/>
      <x:c r="M82" s="3"/>
      <x:c r="N82" s="3"/>
      <x:c r="O82" s="3"/>
      <x:c r="P82" s="3"/>
      <x:c r="Q82" s="3"/>
      <x:c r="R82" s="3"/>
      <x:c r="S82" s="3"/>
      <x:c r="T82" s="3"/>
    </x:row>
    <x:row r="83" ht="25" customHeight="1">
      <x:c r="A83" s="2"/>
      <x:c r="B83" s="2"/>
      <x:c r="C83" s="32"/>
      <x:c r="D83" s="3"/>
      <x:c r="E83" s="3"/>
      <x:c r="F83" s="3"/>
      <x:c r="G83" s="3"/>
      <x:c r="H83" s="3"/>
      <x:c r="I83" s="3"/>
      <x:c r="J83" s="3"/>
      <x:c r="K83" s="3"/>
      <x:c r="L83" s="3"/>
      <x:c r="M83" s="3"/>
      <x:c r="N83" s="3"/>
      <x:c r="O83" s="3"/>
      <x:c r="P83" s="3"/>
      <x:c r="Q83" s="3"/>
      <x:c r="R83" s="3"/>
      <x:c r="S83" s="3"/>
      <x:c r="T83" s="3"/>
    </x:row>
    <x:row r="84" ht="25" customHeight="1">
      <x:c r="A84" s="2"/>
      <x:c r="B84" s="2"/>
      <x:c r="C84" s="32"/>
      <x:c r="D84" s="3"/>
      <x:c r="E84" s="3"/>
      <x:c r="F84" s="3"/>
      <x:c r="G84" s="3"/>
      <x:c r="H84" s="3"/>
      <x:c r="I84" s="3"/>
      <x:c r="J84" s="3"/>
      <x:c r="K84" s="3"/>
      <x:c r="L84" s="3"/>
      <x:c r="M84" s="3"/>
      <x:c r="N84" s="3"/>
      <x:c r="O84" s="3"/>
      <x:c r="P84" s="3"/>
      <x:c r="Q84" s="3"/>
      <x:c r="R84" s="3"/>
      <x:c r="S84" s="3"/>
      <x:c r="T84" s="3"/>
    </x:row>
    <x:row r="85" ht="25" customHeight="1">
      <x:c r="A85" s="2"/>
      <x:c r="B85" s="2"/>
      <x:c r="C85" s="32"/>
      <x:c r="D85" s="3"/>
      <x:c r="E85" s="3"/>
      <x:c r="F85" s="3"/>
      <x:c r="G85" s="3"/>
      <x:c r="H85" s="3"/>
      <x:c r="I85" s="3"/>
      <x:c r="J85" s="3"/>
      <x:c r="K85" s="3"/>
      <x:c r="L85" s="3"/>
      <x:c r="M85" s="3"/>
      <x:c r="N85" s="3"/>
      <x:c r="O85" s="3"/>
      <x:c r="P85" s="3"/>
      <x:c r="Q85" s="3"/>
      <x:c r="R85" s="3"/>
      <x:c r="S85" s="3"/>
      <x:c r="T85" s="3"/>
    </x:row>
    <x:row r="86" ht="25" customHeight="1">
      <x:c r="A86" s="2"/>
      <x:c r="B86" s="2"/>
      <x:c r="C86" s="32"/>
      <x:c r="D86" s="3"/>
      <x:c r="E86" s="3"/>
      <x:c r="F86" s="3"/>
      <x:c r="G86" s="3"/>
      <x:c r="H86" s="3"/>
      <x:c r="I86" s="3"/>
      <x:c r="J86" s="3"/>
      <x:c r="K86" s="3"/>
      <x:c r="L86" s="3"/>
      <x:c r="M86" s="3"/>
      <x:c r="N86" s="3"/>
      <x:c r="O86" s="3"/>
      <x:c r="P86" s="3"/>
      <x:c r="Q86" s="3"/>
      <x:c r="R86" s="3"/>
      <x:c r="S86" s="3"/>
      <x:c r="T86" s="3"/>
    </x:row>
    <x:row r="87" ht="25" customHeight="1">
      <x:c r="A87" s="2"/>
      <x:c r="B87" s="2"/>
      <x:c r="C87" s="32"/>
      <x:c r="D87" s="3"/>
      <x:c r="E87" s="3"/>
      <x:c r="F87" s="3"/>
      <x:c r="G87" s="3"/>
      <x:c r="H87" s="3"/>
      <x:c r="I87" s="3"/>
      <x:c r="J87" s="3"/>
      <x:c r="K87" s="3"/>
      <x:c r="L87" s="3"/>
      <x:c r="M87" s="3"/>
      <x:c r="N87" s="3"/>
      <x:c r="O87" s="3"/>
      <x:c r="P87" s="3"/>
      <x:c r="Q87" s="3"/>
      <x:c r="R87" s="3"/>
      <x:c r="S87" s="3"/>
      <x:c r="T87" s="3"/>
    </x:row>
    <x:row r="88" ht="25" customHeight="1">
      <x:c r="A88" s="2"/>
      <x:c r="B88" s="2"/>
      <x:c r="C88" s="32"/>
      <x:c r="D88" s="3"/>
      <x:c r="E88" s="3"/>
      <x:c r="F88" s="3"/>
      <x:c r="G88" s="3"/>
      <x:c r="H88" s="3"/>
      <x:c r="I88" s="3"/>
      <x:c r="J88" s="3"/>
      <x:c r="K88" s="3"/>
      <x:c r="L88" s="3"/>
      <x:c r="M88" s="3"/>
      <x:c r="N88" s="3"/>
      <x:c r="O88" s="3"/>
      <x:c r="P88" s="3"/>
      <x:c r="Q88" s="3"/>
      <x:c r="R88" s="3"/>
      <x:c r="S88" s="3"/>
      <x:c r="T88" s="3"/>
    </x:row>
    <x:row r="89" ht="25" customHeight="1">
      <x:c r="A89" s="2"/>
      <x:c r="B89" s="2"/>
      <x:c r="C89" s="32"/>
      <x:c r="D89" s="3"/>
      <x:c r="E89" s="3"/>
      <x:c r="F89" s="3"/>
      <x:c r="G89" s="3"/>
      <x:c r="H89" s="3"/>
      <x:c r="I89" s="3"/>
      <x:c r="J89" s="3"/>
      <x:c r="K89" s="3"/>
      <x:c r="L89" s="3"/>
      <x:c r="M89" s="3"/>
      <x:c r="N89" s="3"/>
      <x:c r="O89" s="3"/>
      <x:c r="P89" s="3"/>
      <x:c r="Q89" s="3"/>
      <x:c r="R89" s="3"/>
      <x:c r="S89" s="3"/>
      <x:c r="T89" s="3"/>
    </x:row>
    <x:row r="90" ht="25" customHeight="1">
      <x:c r="A90" s="2"/>
      <x:c r="B90" s="2"/>
      <x:c r="C90" s="32"/>
      <x:c r="D90" s="3"/>
      <x:c r="E90" s="3"/>
      <x:c r="F90" s="3"/>
      <x:c r="G90" s="3"/>
      <x:c r="H90" s="3"/>
      <x:c r="I90" s="3"/>
      <x:c r="J90" s="3"/>
      <x:c r="K90" s="3"/>
      <x:c r="L90" s="3"/>
      <x:c r="M90" s="3"/>
      <x:c r="N90" s="3"/>
      <x:c r="O90" s="3"/>
      <x:c r="P90" s="3"/>
      <x:c r="Q90" s="3"/>
      <x:c r="R90" s="3"/>
      <x:c r="S90" s="3"/>
      <x:c r="T90" s="3"/>
    </x:row>
    <x:row r="91" ht="25" customHeight="1">
      <x:c r="A91" s="2"/>
      <x:c r="B91" s="2"/>
      <x:c r="C91" s="32"/>
      <x:c r="D91" s="3"/>
      <x:c r="E91" s="3"/>
      <x:c r="F91" s="3"/>
      <x:c r="G91" s="3"/>
      <x:c r="H91" s="3"/>
      <x:c r="I91" s="3"/>
      <x:c r="J91" s="3"/>
      <x:c r="K91" s="3"/>
      <x:c r="L91" s="3"/>
      <x:c r="M91" s="3"/>
      <x:c r="N91" s="3"/>
      <x:c r="O91" s="3"/>
      <x:c r="P91" s="3"/>
      <x:c r="Q91" s="3"/>
      <x:c r="R91" s="3"/>
      <x:c r="S91" s="3"/>
      <x:c r="T91" s="3"/>
    </x:row>
    <x:row r="92" ht="25" customHeight="1">
      <x:c r="A92" s="2"/>
      <x:c r="B92" s="2"/>
      <x:c r="C92" s="32"/>
      <x:c r="D92" s="3"/>
      <x:c r="E92" s="3"/>
      <x:c r="F92" s="3"/>
      <x:c r="G92" s="3"/>
      <x:c r="H92" s="3"/>
      <x:c r="I92" s="3"/>
      <x:c r="J92" s="3"/>
      <x:c r="K92" s="3"/>
      <x:c r="L92" s="3"/>
      <x:c r="M92" s="3"/>
      <x:c r="N92" s="3"/>
      <x:c r="O92" s="3"/>
      <x:c r="P92" s="3"/>
      <x:c r="Q92" s="3"/>
      <x:c r="R92" s="3"/>
      <x:c r="S92" s="3"/>
      <x:c r="T92" s="3"/>
    </x:row>
    <x:row r="93" ht="25" customHeight="1">
      <x:c r="A93" s="2"/>
      <x:c r="B93" s="2"/>
      <x:c r="C93" s="32"/>
      <x:c r="D93" s="3"/>
      <x:c r="E93" s="3"/>
      <x:c r="F93" s="3"/>
      <x:c r="G93" s="3"/>
      <x:c r="H93" s="3"/>
      <x:c r="I93" s="3"/>
      <x:c r="J93" s="3"/>
      <x:c r="K93" s="3"/>
      <x:c r="L93" s="3"/>
      <x:c r="M93" s="3"/>
      <x:c r="N93" s="3"/>
      <x:c r="O93" s="3"/>
      <x:c r="P93" s="3"/>
      <x:c r="Q93" s="3"/>
      <x:c r="R93" s="3"/>
      <x:c r="S93" s="3"/>
      <x:c r="T93" s="3"/>
    </x:row>
    <x:row r="94" ht="25" customHeight="1">
      <x:c r="A94" s="2"/>
      <x:c r="B94" s="2"/>
      <x:c r="C94" s="32"/>
      <x:c r="D94" s="3"/>
      <x:c r="E94" s="3"/>
      <x:c r="F94" s="3"/>
      <x:c r="G94" s="3"/>
      <x:c r="H94" s="3"/>
      <x:c r="I94" s="3"/>
      <x:c r="J94" s="3"/>
      <x:c r="K94" s="3"/>
      <x:c r="L94" s="3"/>
      <x:c r="M94" s="3"/>
      <x:c r="N94" s="3"/>
      <x:c r="O94" s="3"/>
      <x:c r="P94" s="3"/>
      <x:c r="Q94" s="3"/>
      <x:c r="R94" s="3"/>
      <x:c r="S94" s="3"/>
      <x:c r="T94" s="3"/>
    </x:row>
    <x:row r="95" ht="25" customHeight="1">
      <x:c r="A95" s="2"/>
      <x:c r="B95" s="2"/>
      <x:c r="C95" s="32"/>
      <x:c r="D95" s="3"/>
      <x:c r="E95" s="3"/>
      <x:c r="F95" s="3"/>
      <x:c r="G95" s="3"/>
      <x:c r="H95" s="3"/>
      <x:c r="I95" s="3"/>
      <x:c r="J95" s="3"/>
      <x:c r="K95" s="3"/>
      <x:c r="L95" s="3"/>
      <x:c r="M95" s="3"/>
      <x:c r="N95" s="3"/>
      <x:c r="O95" s="3"/>
      <x:c r="P95" s="3"/>
      <x:c r="Q95" s="3"/>
      <x:c r="R95" s="3"/>
      <x:c r="S95" s="3"/>
      <x:c r="T95" s="3"/>
    </x:row>
    <x:row r="96" ht="25" customHeight="1">
      <x:c r="A96" s="2"/>
      <x:c r="B96" s="2"/>
      <x:c r="C96" s="32"/>
      <x:c r="D96" s="3"/>
      <x:c r="E96" s="3"/>
      <x:c r="F96" s="3"/>
      <x:c r="G96" s="3"/>
      <x:c r="H96" s="3"/>
      <x:c r="I96" s="3"/>
      <x:c r="J96" s="3"/>
      <x:c r="K96" s="3"/>
      <x:c r="L96" s="3"/>
      <x:c r="M96" s="3"/>
      <x:c r="N96" s="3"/>
      <x:c r="O96" s="3"/>
      <x:c r="P96" s="3"/>
      <x:c r="Q96" s="3"/>
      <x:c r="R96" s="3"/>
      <x:c r="S96" s="3"/>
      <x:c r="T96" s="3"/>
    </x:row>
    <x:row r="97" ht="25" customHeight="1">
      <x:c r="A97" s="2"/>
      <x:c r="B97" s="2"/>
      <x:c r="C97" s="32"/>
      <x:c r="D97" s="3"/>
      <x:c r="E97" s="3"/>
      <x:c r="F97" s="3"/>
      <x:c r="G97" s="3"/>
      <x:c r="H97" s="3"/>
      <x:c r="I97" s="3"/>
      <x:c r="J97" s="3"/>
      <x:c r="K97" s="3"/>
      <x:c r="L97" s="3"/>
      <x:c r="M97" s="3"/>
      <x:c r="N97" s="3"/>
      <x:c r="O97" s="3"/>
      <x:c r="P97" s="3"/>
      <x:c r="Q97" s="3"/>
      <x:c r="R97" s="3"/>
      <x:c r="S97" s="3"/>
      <x:c r="T97" s="3"/>
    </x:row>
    <x:row r="98" ht="25" customHeight="1">
      <x:c r="A98" s="2"/>
      <x:c r="B98" s="2"/>
      <x:c r="C98" s="32"/>
      <x:c r="D98" s="3"/>
      <x:c r="E98" s="3"/>
      <x:c r="F98" s="3"/>
      <x:c r="G98" s="3"/>
      <x:c r="H98" s="3"/>
      <x:c r="I98" s="3"/>
      <x:c r="J98" s="3"/>
      <x:c r="K98" s="3"/>
      <x:c r="L98" s="3"/>
      <x:c r="M98" s="3"/>
      <x:c r="N98" s="3"/>
      <x:c r="O98" s="3"/>
      <x:c r="P98" s="3"/>
      <x:c r="Q98" s="3"/>
      <x:c r="R98" s="3"/>
      <x:c r="S98" s="3"/>
      <x:c r="T98" s="3"/>
    </x:row>
    <x:row r="99" ht="25" customHeight="1">
      <x:c r="A99" s="2"/>
      <x:c r="B99" s="2"/>
      <x:c r="C99" s="32"/>
      <x:c r="D99" s="3"/>
      <x:c r="E99" s="3"/>
      <x:c r="F99" s="3"/>
      <x:c r="G99" s="3"/>
      <x:c r="H99" s="3"/>
      <x:c r="I99" s="3"/>
      <x:c r="J99" s="3"/>
      <x:c r="K99" s="3"/>
      <x:c r="L99" s="3"/>
      <x:c r="M99" s="3"/>
      <x:c r="N99" s="3"/>
      <x:c r="O99" s="3"/>
      <x:c r="P99" s="3"/>
      <x:c r="Q99" s="3"/>
      <x:c r="R99" s="3"/>
      <x:c r="S99" s="3"/>
      <x:c r="T99" s="3"/>
    </x:row>
    <x:row r="100" ht="25" customHeight="1">
      <x:c r="A100" s="2"/>
      <x:c r="B100" s="2"/>
      <x:c r="C100" s="32"/>
      <x:c r="D100" s="3"/>
      <x:c r="E100" s="3"/>
      <x:c r="F100" s="3"/>
      <x:c r="G100" s="3"/>
      <x:c r="H100" s="3"/>
      <x:c r="I100" s="3"/>
      <x:c r="J100" s="3"/>
      <x:c r="K100" s="3"/>
      <x:c r="L100" s="3"/>
      <x:c r="M100" s="3"/>
      <x:c r="N100" s="3"/>
      <x:c r="O100" s="3"/>
      <x:c r="P100" s="3"/>
      <x:c r="Q100" s="3"/>
      <x:c r="R100" s="3"/>
      <x:c r="S100" s="3"/>
      <x:c r="T100" s="3"/>
    </x:row>
    <x:row r="101" ht="25" customHeight="1">
      <x:c r="A101" s="2"/>
      <x:c r="B101" s="2"/>
      <x:c r="C101" s="32"/>
      <x:c r="D101" s="3"/>
      <x:c r="E101" s="3"/>
      <x:c r="F101" s="3"/>
      <x:c r="G101" s="3"/>
      <x:c r="H101" s="3"/>
      <x:c r="I101" s="3"/>
      <x:c r="J101" s="3"/>
      <x:c r="K101" s="3"/>
      <x:c r="L101" s="3"/>
      <x:c r="M101" s="3"/>
      <x:c r="N101" s="3"/>
      <x:c r="O101" s="3"/>
      <x:c r="P101" s="3"/>
      <x:c r="Q101" s="3"/>
      <x:c r="R101" s="3"/>
      <x:c r="S101" s="3"/>
      <x:c r="T101" s="3"/>
    </x:row>
    <x:row r="102" ht="25" customHeight="1">
      <x:c r="A102" s="2"/>
      <x:c r="B102" s="2"/>
      <x:c r="C102" s="32"/>
      <x:c r="D102" s="3"/>
      <x:c r="E102" s="3"/>
      <x:c r="F102" s="3"/>
      <x:c r="G102" s="3"/>
      <x:c r="H102" s="3"/>
      <x:c r="I102" s="3"/>
      <x:c r="J102" s="3"/>
      <x:c r="K102" s="3"/>
      <x:c r="L102" s="3"/>
      <x:c r="M102" s="3"/>
      <x:c r="N102" s="3"/>
      <x:c r="O102" s="3"/>
      <x:c r="P102" s="3"/>
      <x:c r="Q102" s="3"/>
      <x:c r="R102" s="3"/>
      <x:c r="S102" s="3"/>
      <x:c r="T102" s="3"/>
    </x:row>
    <x:row r="103" ht="25" customHeight="1">
      <x:c r="A103" s="2"/>
      <x:c r="B103" s="2"/>
      <x:c r="C103" s="32"/>
      <x:c r="D103" s="3"/>
      <x:c r="E103" s="3"/>
      <x:c r="F103" s="3"/>
      <x:c r="G103" s="3"/>
      <x:c r="H103" s="3"/>
      <x:c r="I103" s="3"/>
      <x:c r="J103" s="3"/>
      <x:c r="K103" s="3"/>
      <x:c r="L103" s="3"/>
      <x:c r="M103" s="3"/>
      <x:c r="N103" s="3"/>
      <x:c r="O103" s="3"/>
      <x:c r="P103" s="3"/>
      <x:c r="Q103" s="3"/>
      <x:c r="R103" s="3"/>
      <x:c r="S103" s="3"/>
      <x:c r="T103" s="3"/>
    </x:row>
    <x:row r="104" ht="25" customHeight="1">
      <x:c r="A104" s="2"/>
      <x:c r="B104" s="2"/>
      <x:c r="C104" s="32"/>
      <x:c r="D104" s="3"/>
      <x:c r="E104" s="3"/>
      <x:c r="F104" s="3"/>
      <x:c r="G104" s="3"/>
      <x:c r="H104" s="3"/>
      <x:c r="I104" s="3"/>
      <x:c r="J104" s="3"/>
      <x:c r="K104" s="3"/>
      <x:c r="L104" s="3"/>
      <x:c r="M104" s="3"/>
      <x:c r="N104" s="3"/>
      <x:c r="O104" s="3"/>
      <x:c r="P104" s="3"/>
      <x:c r="Q104" s="3"/>
      <x:c r="R104" s="3"/>
      <x:c r="S104" s="3"/>
      <x:c r="T104" s="3"/>
    </x:row>
    <x:row r="105" ht="25" customHeight="1">
      <x:c r="A105" s="2"/>
      <x:c r="B105" s="2"/>
      <x:c r="C105" s="32"/>
      <x:c r="D105" s="3"/>
      <x:c r="E105" s="3"/>
      <x:c r="F105" s="3"/>
      <x:c r="G105" s="3"/>
      <x:c r="H105" s="3"/>
      <x:c r="I105" s="3"/>
      <x:c r="J105" s="3"/>
      <x:c r="K105" s="3"/>
      <x:c r="L105" s="3"/>
      <x:c r="M105" s="3"/>
      <x:c r="N105" s="3"/>
      <x:c r="O105" s="3"/>
      <x:c r="P105" s="3"/>
      <x:c r="Q105" s="3"/>
      <x:c r="R105" s="3"/>
      <x:c r="S105" s="3"/>
      <x:c r="T105" s="3"/>
    </x:row>
    <x:row r="106" ht="25" customHeight="1">
      <x:c r="A106" s="2"/>
      <x:c r="B106" s="2"/>
      <x:c r="C106" s="32"/>
      <x:c r="D106" s="3"/>
      <x:c r="E106" s="3"/>
      <x:c r="F106" s="3"/>
      <x:c r="G106" s="3"/>
      <x:c r="H106" s="3"/>
      <x:c r="I106" s="3"/>
      <x:c r="J106" s="3"/>
      <x:c r="K106" s="3"/>
      <x:c r="L106" s="3"/>
      <x:c r="M106" s="3"/>
      <x:c r="N106" s="3"/>
      <x:c r="O106" s="3"/>
      <x:c r="P106" s="3"/>
      <x:c r="Q106" s="3"/>
      <x:c r="R106" s="3"/>
      <x:c r="S106" s="3"/>
      <x:c r="T106" s="3"/>
    </x:row>
    <x:row r="107" ht="25" customHeight="1">
      <x:c r="A107" s="2"/>
      <x:c r="B107" s="2"/>
      <x:c r="C107" s="32"/>
      <x:c r="D107" s="3"/>
      <x:c r="E107" s="3"/>
      <x:c r="F107" s="3"/>
      <x:c r="G107" s="3"/>
      <x:c r="H107" s="3"/>
      <x:c r="I107" s="3"/>
      <x:c r="J107" s="3"/>
      <x:c r="K107" s="3"/>
      <x:c r="L107" s="3"/>
      <x:c r="M107" s="3"/>
      <x:c r="N107" s="3"/>
      <x:c r="O107" s="3"/>
      <x:c r="P107" s="3"/>
      <x:c r="Q107" s="3"/>
      <x:c r="R107" s="3"/>
      <x:c r="S107" s="3"/>
      <x:c r="T107" s="3"/>
    </x:row>
    <x:row r="108" ht="25" customHeight="1">
      <x:c r="A108" s="2"/>
      <x:c r="B108" s="2"/>
      <x:c r="C108" s="32"/>
      <x:c r="D108" s="3"/>
      <x:c r="E108" s="3"/>
      <x:c r="F108" s="3"/>
      <x:c r="G108" s="3"/>
      <x:c r="H108" s="3"/>
      <x:c r="I108" s="3"/>
      <x:c r="J108" s="3"/>
      <x:c r="K108" s="3"/>
      <x:c r="L108" s="3"/>
      <x:c r="M108" s="3"/>
      <x:c r="N108" s="3"/>
      <x:c r="O108" s="3"/>
      <x:c r="P108" s="3"/>
      <x:c r="Q108" s="3"/>
      <x:c r="R108" s="3"/>
      <x:c r="S108" s="3"/>
      <x:c r="T108" s="3"/>
    </x:row>
    <x:row r="109" ht="25" customHeight="1">
      <x:c r="A109" s="2"/>
      <x:c r="B109" s="2"/>
      <x:c r="C109" s="32"/>
      <x:c r="D109" s="3"/>
      <x:c r="E109" s="3"/>
      <x:c r="F109" s="3"/>
      <x:c r="G109" s="3"/>
      <x:c r="H109" s="3"/>
      <x:c r="I109" s="3"/>
      <x:c r="J109" s="3"/>
      <x:c r="K109" s="3"/>
      <x:c r="L109" s="3"/>
      <x:c r="M109" s="3"/>
      <x:c r="N109" s="3"/>
      <x:c r="O109" s="3"/>
      <x:c r="P109" s="3"/>
      <x:c r="Q109" s="3"/>
      <x:c r="R109" s="3"/>
      <x:c r="S109" s="3"/>
      <x:c r="T109" s="3"/>
    </x:row>
    <x:row r="110" ht="25" customHeight="1">
      <x:c r="A110" s="2"/>
      <x:c r="B110" s="2"/>
      <x:c r="C110" s="32"/>
      <x:c r="D110" s="3"/>
      <x:c r="E110" s="3"/>
      <x:c r="F110" s="3"/>
      <x:c r="G110" s="3"/>
      <x:c r="H110" s="3"/>
      <x:c r="I110" s="3"/>
      <x:c r="J110" s="3"/>
      <x:c r="K110" s="3"/>
      <x:c r="L110" s="3"/>
      <x:c r="M110" s="3"/>
      <x:c r="N110" s="3"/>
      <x:c r="O110" s="3"/>
      <x:c r="P110" s="3"/>
      <x:c r="Q110" s="3"/>
      <x:c r="R110" s="3"/>
      <x:c r="S110" s="3"/>
      <x:c r="T110" s="3"/>
    </x:row>
    <x:row r="111" ht="25" customHeight="1">
      <x:c r="A111" s="2"/>
      <x:c r="B111" s="2"/>
      <x:c r="C111" s="32"/>
      <x:c r="D111" s="3"/>
      <x:c r="E111" s="3"/>
      <x:c r="F111" s="3"/>
      <x:c r="G111" s="3"/>
      <x:c r="H111" s="3"/>
      <x:c r="I111" s="3"/>
      <x:c r="J111" s="3"/>
      <x:c r="K111" s="3"/>
      <x:c r="L111" s="3"/>
      <x:c r="M111" s="3"/>
      <x:c r="N111" s="3"/>
      <x:c r="O111" s="3"/>
      <x:c r="P111" s="3"/>
      <x:c r="Q111" s="3"/>
      <x:c r="R111" s="3"/>
      <x:c r="S111" s="3"/>
      <x:c r="T111" s="3"/>
    </x:row>
    <x:row r="112" ht="25" customHeight="1">
      <x:c r="A112" s="2"/>
      <x:c r="B112" s="2"/>
      <x:c r="C112" s="32"/>
      <x:c r="D112" s="3"/>
      <x:c r="E112" s="3"/>
      <x:c r="F112" s="3"/>
      <x:c r="G112" s="3"/>
      <x:c r="H112" s="3"/>
      <x:c r="I112" s="3"/>
      <x:c r="J112" s="3"/>
      <x:c r="K112" s="3"/>
      <x:c r="L112" s="3"/>
      <x:c r="M112" s="3"/>
      <x:c r="N112" s="3"/>
      <x:c r="O112" s="3"/>
      <x:c r="P112" s="3"/>
      <x:c r="Q112" s="3"/>
      <x:c r="R112" s="3"/>
      <x:c r="S112" s="3"/>
      <x:c r="T112" s="3"/>
    </x:row>
    <x:row r="113" ht="25" customHeight="1">
      <x:c r="A113" s="2"/>
      <x:c r="B113" s="2"/>
      <x:c r="C113" s="32"/>
      <x:c r="D113" s="3"/>
      <x:c r="E113" s="3"/>
      <x:c r="F113" s="3"/>
      <x:c r="G113" s="3"/>
      <x:c r="H113" s="3"/>
      <x:c r="I113" s="3"/>
      <x:c r="J113" s="3"/>
      <x:c r="K113" s="3"/>
      <x:c r="L113" s="3"/>
      <x:c r="M113" s="3"/>
      <x:c r="N113" s="3"/>
      <x:c r="O113" s="3"/>
      <x:c r="P113" s="3"/>
      <x:c r="Q113" s="3"/>
      <x:c r="R113" s="3"/>
      <x:c r="S113" s="3"/>
      <x:c r="T113" s="3"/>
    </x:row>
    <x:row r="114" ht="25" customHeight="1">
      <x:c r="A114" s="2"/>
      <x:c r="B114" s="2"/>
      <x:c r="C114" s="32"/>
      <x:c r="D114" s="3"/>
      <x:c r="E114" s="3"/>
      <x:c r="F114" s="3"/>
      <x:c r="G114" s="3"/>
      <x:c r="H114" s="3"/>
      <x:c r="I114" s="3"/>
      <x:c r="J114" s="3"/>
      <x:c r="K114" s="3"/>
      <x:c r="L114" s="3"/>
      <x:c r="M114" s="3"/>
      <x:c r="N114" s="3"/>
      <x:c r="O114" s="3"/>
      <x:c r="P114" s="3"/>
      <x:c r="Q114" s="3"/>
      <x:c r="R114" s="3"/>
      <x:c r="S114" s="3"/>
      <x:c r="T114" s="3"/>
    </x:row>
    <x:row r="115" ht="25" customHeight="1">
      <x:c r="A115" s="2"/>
      <x:c r="B115" s="2"/>
      <x:c r="C115" s="32"/>
      <x:c r="D115" s="3"/>
      <x:c r="E115" s="3"/>
      <x:c r="F115" s="3"/>
      <x:c r="G115" s="3"/>
      <x:c r="H115" s="3"/>
      <x:c r="I115" s="3"/>
      <x:c r="J115" s="3"/>
      <x:c r="K115" s="3"/>
      <x:c r="L115" s="3"/>
      <x:c r="M115" s="3"/>
      <x:c r="N115" s="3"/>
      <x:c r="O115" s="3"/>
      <x:c r="P115" s="3"/>
      <x:c r="Q115" s="3"/>
      <x:c r="R115" s="3"/>
      <x:c r="S115" s="3"/>
      <x:c r="T115" s="3"/>
    </x:row>
    <x:row r="116" ht="25" customHeight="1">
      <x:c r="A116" s="2"/>
      <x:c r="B116" s="2"/>
      <x:c r="C116" s="32"/>
      <x:c r="D116" s="3"/>
      <x:c r="E116" s="3"/>
      <x:c r="F116" s="3"/>
      <x:c r="G116" s="3"/>
      <x:c r="H116" s="3"/>
      <x:c r="I116" s="3"/>
      <x:c r="J116" s="3"/>
      <x:c r="K116" s="3"/>
      <x:c r="L116" s="3"/>
      <x:c r="M116" s="3"/>
      <x:c r="N116" s="3"/>
      <x:c r="O116" s="3"/>
      <x:c r="P116" s="3"/>
      <x:c r="Q116" s="3"/>
      <x:c r="R116" s="3"/>
      <x:c r="S116" s="3"/>
      <x:c r="T116" s="3"/>
    </x:row>
    <x:row r="117" ht="25" customHeight="1">
      <x:c r="A117" s="2"/>
      <x:c r="B117" s="2"/>
      <x:c r="C117" s="32"/>
      <x:c r="D117" s="3"/>
      <x:c r="E117" s="3"/>
      <x:c r="F117" s="3"/>
      <x:c r="G117" s="3"/>
      <x:c r="H117" s="3"/>
      <x:c r="I117" s="3"/>
      <x:c r="J117" s="3"/>
      <x:c r="K117" s="3"/>
      <x:c r="L117" s="3"/>
      <x:c r="M117" s="3"/>
      <x:c r="N117" s="3"/>
      <x:c r="O117" s="3"/>
      <x:c r="P117" s="3"/>
      <x:c r="Q117" s="3"/>
      <x:c r="R117" s="3"/>
      <x:c r="S117" s="3"/>
      <x:c r="T117" s="3"/>
    </x:row>
    <x:row r="118" ht="25" customHeight="1">
      <x:c r="A118" s="2"/>
      <x:c r="B118" s="2"/>
      <x:c r="C118" s="32"/>
      <x:c r="D118" s="3"/>
      <x:c r="E118" s="3"/>
      <x:c r="F118" s="3"/>
      <x:c r="G118" s="3"/>
      <x:c r="H118" s="3"/>
      <x:c r="I118" s="3"/>
      <x:c r="J118" s="3"/>
      <x:c r="K118" s="3"/>
      <x:c r="L118" s="3"/>
      <x:c r="M118" s="3"/>
      <x:c r="N118" s="3"/>
      <x:c r="O118" s="3"/>
      <x:c r="P118" s="3"/>
      <x:c r="Q118" s="3"/>
      <x:c r="R118" s="3"/>
      <x:c r="S118" s="3"/>
      <x:c r="T118" s="3"/>
    </x:row>
    <x:row r="119" ht="25" customHeight="1">
      <x:c r="A119" s="2"/>
      <x:c r="B119" s="2"/>
      <x:c r="C119" s="32"/>
      <x:c r="D119" s="3"/>
      <x:c r="E119" s="3"/>
      <x:c r="F119" s="3"/>
      <x:c r="G119" s="3"/>
      <x:c r="H119" s="3"/>
      <x:c r="I119" s="3"/>
      <x:c r="J119" s="3"/>
      <x:c r="K119" s="3"/>
      <x:c r="L119" s="3"/>
      <x:c r="M119" s="3"/>
      <x:c r="N119" s="3"/>
      <x:c r="O119" s="3"/>
      <x:c r="P119" s="3"/>
      <x:c r="Q119" s="3"/>
      <x:c r="R119" s="3"/>
      <x:c r="S119" s="3"/>
      <x:c r="T119" s="3"/>
    </x:row>
    <x:row r="120" ht="25" customHeight="1">
      <x:c r="A120" s="2"/>
      <x:c r="B120" s="2"/>
      <x:c r="C120" s="32"/>
      <x:c r="D120" s="3"/>
      <x:c r="E120" s="3"/>
      <x:c r="F120" s="3"/>
      <x:c r="G120" s="3"/>
      <x:c r="H120" s="3"/>
      <x:c r="I120" s="3"/>
      <x:c r="J120" s="3"/>
      <x:c r="K120" s="3"/>
      <x:c r="L120" s="3"/>
      <x:c r="M120" s="3"/>
      <x:c r="N120" s="3"/>
      <x:c r="O120" s="3"/>
      <x:c r="P120" s="3"/>
      <x:c r="Q120" s="3"/>
      <x:c r="R120" s="3"/>
      <x:c r="S120" s="3"/>
      <x:c r="T120" s="3"/>
    </x:row>
  </x:sheetData>
  <x:mergeCells>
    <x:mergeCell ref="C2:T2"/>
    <x:mergeCell ref="C71:L71"/>
    <x:mergeCell ref="C73:L73"/>
  </x:mergeCells>
  <x:conditionalFormatting sqref="D40:T40">
    <x:cfRule type="cellIs" dxfId="1" priority="1" operator="lessThan">
      <x:formula>0</x:formula>
    </x:cfRule>
  </x:conditionalFormatting>
  <x:conditionalFormatting sqref="D51:T51">
    <x:cfRule type="cellIs" dxfId="2" priority="2" operator="lessThan">
      <x:formula>0</x:formula>
    </x:cfRule>
  </x:conditionalFormatting>
  <x:pageMargins left="0.7" right="0.7" top="0.75" bottom="0.75" header="0.3" footer="0.3"/>
</x:worksheet>
</file>

<file path=xl/worksheets/sheet10.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2" hidden="0" customWidth="1"/>
    <x:col min="2" max="2" width="2" hidden="0" customWidth="1"/>
    <x:col min="3" max="3" width="48"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 min="17" max="17" width="16" hidden="0" customWidth="1"/>
    <x:col min="18" max="18" width="16" hidden="0" customWidth="1"/>
    <x:col min="19" max="19" width="16" hidden="0" customWidth="1"/>
    <x:col min="20" max="20" width="16" hidden="0" customWidth="1"/>
  </x:cols>
  <x:sheetData>
    <x:row r="1" ht="25" customHeight="1">
      <x:c r="A1" s="2"/>
      <x:c r="B1" s="2"/>
      <x:c r="C1" s="2"/>
      <x:c r="D1" s="3"/>
      <x:c r="E1" s="3"/>
      <x:c r="F1" s="3"/>
      <x:c r="G1" s="3"/>
      <x:c r="H1" s="3"/>
      <x:c r="I1" s="3"/>
      <x:c r="J1" s="3"/>
      <x:c r="K1" s="3"/>
      <x:c r="L1" s="3"/>
      <x:c r="M1" s="3"/>
      <x:c r="N1" s="3"/>
      <x:c r="O1" s="3"/>
      <x:c r="P1" s="3"/>
      <x:c r="Q1" s="3"/>
      <x:c r="R1" s="3"/>
      <x:c r="S1" s="3"/>
      <x:c r="T1" s="3"/>
    </x:row>
    <x:row r="2" ht="34" customHeight="1">
      <x:c r="A2" s="2"/>
      <x:c r="B2" s="2"/>
      <x:c r="C2" s="4" t="str">
        <x:v>Model reconciliations and constraints</x:v>
      </x:c>
      <x:c r="D2" s="3"/>
      <x:c r="E2" s="3"/>
      <x:c r="F2" s="3"/>
      <x:c r="G2" s="3"/>
      <x:c r="H2" s="3"/>
      <x:c r="I2" s="3"/>
      <x:c r="J2" s="3"/>
      <x:c r="K2" s="3"/>
      <x:c r="L2" s="3"/>
      <x:c r="M2" s="3"/>
      <x:c r="N2" s="3"/>
      <x:c r="O2" s="3"/>
      <x:c r="P2" s="3"/>
      <x:c r="Q2" s="3"/>
      <x:c r="R2" s="3"/>
      <x:c r="S2" s="3"/>
      <x:c r="T2" s="3"/>
    </x:row>
    <x:row r="3" ht="25" customHeight="1">
      <x:c r="A3" s="2"/>
      <x:c r="B3" s="2"/>
      <x:c r="C3" s="2" t="str">
        <x:v>Selected case</x:v>
      </x:c>
      <x:c r="D3" s="52" t="str">
        <x:f>'Inputs'!$E$3</x:f>
        <x:v>Base</x:v>
      </x:c>
      <x:c r="E3" s="3"/>
      <x:c r="F3" s="3"/>
      <x:c r="G3" s="3"/>
      <x:c r="H3" s="3"/>
      <x:c r="I3" s="3"/>
      <x:c r="J3" s="3"/>
      <x:c r="K3" s="3"/>
      <x:c r="L3" s="3"/>
      <x:c r="M3" s="3"/>
      <x:c r="N3" s="3"/>
      <x:c r="O3" s="3"/>
      <x:c r="P3" s="3"/>
      <x:c r="Q3" s="3"/>
      <x:c r="R3" s="3"/>
      <x:c r="S3" s="3"/>
      <x:c r="T3" s="3"/>
    </x:row>
    <x:row r="4" ht="25" customHeight="1">
      <x:c r="A4" s="2"/>
      <x:c r="B4" s="2"/>
      <x:c r="C4" s="2"/>
      <x:c r="D4" s="3"/>
      <x:c r="E4" s="3"/>
      <x:c r="F4" s="3"/>
      <x:c r="G4" s="3"/>
      <x:c r="H4" s="3"/>
      <x:c r="I4" s="3"/>
      <x:c r="J4" s="3"/>
      <x:c r="K4" s="3"/>
      <x:c r="L4" s="3"/>
      <x:c r="M4" s="3"/>
      <x:c r="N4" s="3"/>
      <x:c r="O4" s="3"/>
      <x:c r="P4" s="3"/>
      <x:c r="Q4" s="3"/>
      <x:c r="R4" s="3"/>
      <x:c r="S4" s="3"/>
      <x:c r="T4" s="3"/>
    </x:row>
    <x:row r="5" ht="25" customHeight="1">
      <x:c r="A5" s="2"/>
      <x:c r="B5" s="2"/>
      <x:c r="C5" s="7"/>
      <x:c r="D5" s="8" t="str">
        <x:v>Q4:26</x:v>
      </x:c>
      <x:c r="E5" s="8" t="str">
        <x:v>Q1:27</x:v>
      </x:c>
      <x:c r="F5" s="8" t="str">
        <x:v>Q2:27</x:v>
      </x:c>
      <x:c r="G5" s="8" t="str">
        <x:v>Q3:27</x:v>
      </x:c>
      <x:c r="H5" s="8" t="str">
        <x:v>Q4:27</x:v>
      </x:c>
      <x:c r="I5" s="8" t="str">
        <x:v>Q1:28</x:v>
      </x:c>
      <x:c r="J5" s="8" t="str">
        <x:v>Q2:28</x:v>
      </x:c>
      <x:c r="K5" s="8" t="str">
        <x:v>Q3:28</x:v>
      </x:c>
      <x:c r="L5" s="8" t="str">
        <x:v>Q4:28</x:v>
      </x:c>
      <x:c r="M5" s="8" t="str">
        <x:v>Q1:29</x:v>
      </x:c>
      <x:c r="N5" s="8" t="str">
        <x:v>Q2:29</x:v>
      </x:c>
      <x:c r="O5" s="8" t="str">
        <x:v>Q3:29</x:v>
      </x:c>
      <x:c r="P5" s="8" t="str">
        <x:v>Q4:29</x:v>
      </x:c>
      <x:c r="Q5" s="8" t="str">
        <x:v>Q1:30</x:v>
      </x:c>
      <x:c r="R5" s="8" t="str">
        <x:v>Q2:30</x:v>
      </x:c>
      <x:c r="S5" s="8" t="str">
        <x:v>Q3:30</x:v>
      </x:c>
      <x:c r="T5" s="8" t="str">
        <x:v>Q4:30</x:v>
      </x:c>
    </x:row>
    <x:row r="6" ht="25" customHeight="1">
      <x:c r="A6" s="2"/>
      <x:c r="B6" s="2"/>
      <x:c r="C6" s="32"/>
      <x:c r="D6" s="3"/>
      <x:c r="E6" s="3"/>
      <x:c r="F6" s="3"/>
      <x:c r="G6" s="3"/>
      <x:c r="H6" s="3"/>
      <x:c r="I6" s="3"/>
      <x:c r="J6" s="3"/>
      <x:c r="K6" s="3"/>
      <x:c r="L6" s="3"/>
      <x:c r="M6" s="3"/>
      <x:c r="N6" s="3"/>
      <x:c r="O6" s="3"/>
      <x:c r="P6" s="3"/>
      <x:c r="Q6" s="3"/>
      <x:c r="R6" s="3"/>
      <x:c r="S6" s="3"/>
      <x:c r="T6" s="3"/>
    </x:row>
    <x:row r="7" ht="25" customHeight="1">
      <x:c r="A7" s="2"/>
      <x:c r="B7" s="2"/>
      <x:c r="C7" s="32" t="str">
        <x:v>Customer roll-forward</x:v>
      </x:c>
      <x:c r="D7" s="31" t="n">
        <x:f>0+'Revenue'!D8-'Revenue'!D9-'Revenue'!D7</x:f>
        <x:v>0</x:v>
      </x:c>
      <x:c r="E7" s="31" t="n">
        <x:f>'Revenue'!D7+'Revenue'!E8-'Revenue'!E9-'Revenue'!E7</x:f>
        <x:v>0</x:v>
      </x:c>
      <x:c r="F7" s="31" t="n">
        <x:f>'Revenue'!E7+'Revenue'!F8-'Revenue'!F9-'Revenue'!F7</x:f>
        <x:v>0</x:v>
      </x:c>
      <x:c r="G7" s="31" t="n">
        <x:f>'Revenue'!F7+'Revenue'!G8-'Revenue'!G9-'Revenue'!G7</x:f>
        <x:v>0</x:v>
      </x:c>
      <x:c r="H7" s="31" t="n">
        <x:f>'Revenue'!G7+'Revenue'!H8-'Revenue'!H9-'Revenue'!H7</x:f>
        <x:v>0</x:v>
      </x:c>
      <x:c r="I7" s="31" t="n">
        <x:f>'Revenue'!H7+'Revenue'!I8-'Revenue'!I9-'Revenue'!I7</x:f>
        <x:v>0</x:v>
      </x:c>
      <x:c r="J7" s="31" t="n">
        <x:f>'Revenue'!I7+'Revenue'!J8-'Revenue'!J9-'Revenue'!J7</x:f>
        <x:v>0</x:v>
      </x:c>
      <x:c r="K7" s="31" t="n">
        <x:f>'Revenue'!J7+'Revenue'!K8-'Revenue'!K9-'Revenue'!K7</x:f>
        <x:v>0</x:v>
      </x:c>
      <x:c r="L7" s="31" t="n">
        <x:f>'Revenue'!K7+'Revenue'!L8-'Revenue'!L9-'Revenue'!L7</x:f>
        <x:v>0</x:v>
      </x:c>
      <x:c r="M7" s="31" t="n">
        <x:f>'Revenue'!L7+'Revenue'!M8-'Revenue'!M9-'Revenue'!M7</x:f>
        <x:v>0</x:v>
      </x:c>
      <x:c r="N7" s="31" t="n">
        <x:f>'Revenue'!M7+'Revenue'!N8-'Revenue'!N9-'Revenue'!N7</x:f>
        <x:v>0</x:v>
      </x:c>
      <x:c r="O7" s="31" t="n">
        <x:f>'Revenue'!N7+'Revenue'!O8-'Revenue'!O9-'Revenue'!O7</x:f>
        <x:v>0</x:v>
      </x:c>
      <x:c r="P7" s="31" t="n">
        <x:f>'Revenue'!O7+'Revenue'!P8-'Revenue'!P9-'Revenue'!P7</x:f>
        <x:v>0</x:v>
      </x:c>
      <x:c r="Q7" s="31" t="n">
        <x:f>'Revenue'!P7+'Revenue'!Q8-'Revenue'!Q9-'Revenue'!Q7</x:f>
        <x:v>0</x:v>
      </x:c>
      <x:c r="R7" s="31" t="n">
        <x:f>'Revenue'!Q7+'Revenue'!R8-'Revenue'!R9-'Revenue'!R7</x:f>
        <x:v>0</x:v>
      </x:c>
      <x:c r="S7" s="31" t="n">
        <x:f>'Revenue'!R7+'Revenue'!S8-'Revenue'!S9-'Revenue'!S7</x:f>
        <x:v>0</x:v>
      </x:c>
      <x:c r="T7" s="31" t="n">
        <x:f>'Revenue'!S7+'Revenue'!T8-'Revenue'!T9-'Revenue'!T7</x:f>
        <x:v>0</x:v>
      </x:c>
    </x:row>
    <x:row r="8" ht="25" customHeight="1">
      <x:c r="A8" s="2"/>
      <x:c r="B8" s="2"/>
      <x:c r="C8" s="32" t="str">
        <x:v>Phase totals vs active customers</x:v>
      </x:c>
      <x:c r="D8" s="31" t="n">
        <x:f>SUM('Revenue'!D12:D14)-'Revenue'!D7</x:f>
        <x:v>0</x:v>
      </x:c>
      <x:c r="E8" s="31" t="n">
        <x:f>SUM('Revenue'!E12:E14)-'Revenue'!E7</x:f>
        <x:v>0</x:v>
      </x:c>
      <x:c r="F8" s="31" t="n">
        <x:f>SUM('Revenue'!F12:F14)-'Revenue'!F7</x:f>
        <x:v>0</x:v>
      </x:c>
      <x:c r="G8" s="31" t="n">
        <x:f>SUM('Revenue'!G12:G14)-'Revenue'!G7</x:f>
        <x:v>0</x:v>
      </x:c>
      <x:c r="H8" s="31" t="n">
        <x:f>SUM('Revenue'!H12:H14)-'Revenue'!H7</x:f>
        <x:v>0</x:v>
      </x:c>
      <x:c r="I8" s="31" t="n">
        <x:f>SUM('Revenue'!I12:I14)-'Revenue'!I7</x:f>
        <x:v>0</x:v>
      </x:c>
      <x:c r="J8" s="31" t="n">
        <x:f>SUM('Revenue'!J12:J14)-'Revenue'!J7</x:f>
        <x:v>0</x:v>
      </x:c>
      <x:c r="K8" s="31" t="n">
        <x:f>SUM('Revenue'!K12:K14)-'Revenue'!K7</x:f>
        <x:v>-1.4210854715202004e-14</x:v>
      </x:c>
      <x:c r="L8" s="31" t="n">
        <x:f>SUM('Revenue'!L12:L14)-'Revenue'!L7</x:f>
        <x:v>0</x:v>
      </x:c>
      <x:c r="M8" s="31" t="n">
        <x:f>SUM('Revenue'!M12:M14)-'Revenue'!M7</x:f>
        <x:v>-2.842170943040401e-14</x:v>
      </x:c>
      <x:c r="N8" s="31" t="n">
        <x:f>SUM('Revenue'!N12:N14)-'Revenue'!N7</x:f>
        <x:v>-2.842170943040401e-14</x:v>
      </x:c>
      <x:c r="O8" s="31" t="n">
        <x:f>SUM('Revenue'!O12:O14)-'Revenue'!O7</x:f>
        <x:v>-5.684341886080802e-14</x:v>
      </x:c>
      <x:c r="P8" s="31" t="n">
        <x:f>SUM('Revenue'!P12:P14)-'Revenue'!P7</x:f>
        <x:v>-1.1368683772161603e-13</x:v>
      </x:c>
      <x:c r="Q8" s="31" t="n">
        <x:f>SUM('Revenue'!Q12:Q14)-'Revenue'!Q7</x:f>
        <x:v>-1.1368683772161603e-13</x:v>
      </x:c>
      <x:c r="R8" s="31" t="n">
        <x:f>SUM('Revenue'!R12:R14)-'Revenue'!R7</x:f>
        <x:v>0</x:v>
      </x:c>
      <x:c r="S8" s="31" t="n">
        <x:f>SUM('Revenue'!S12:S14)-'Revenue'!S7</x:f>
        <x:v>0</x:v>
      </x:c>
      <x:c r="T8" s="31" t="n">
        <x:f>SUM('Revenue'!T12:T14)-'Revenue'!T7</x:f>
        <x:v>2.2737367544323206e-13</x:v>
      </x:c>
    </x:row>
    <x:row r="9" ht="25" customHeight="1">
      <x:c r="A9" s="2"/>
      <x:c r="B9" s="2"/>
      <x:c r="C9" s="32" t="str">
        <x:v>Revenue vs ARR / 4</x:v>
      </x:c>
      <x:c r="D9" s="31" t="n">
        <x:f>'Revenue'!D17-'Revenue'!D16/4</x:f>
        <x:v>0</x:v>
      </x:c>
      <x:c r="E9" s="31" t="n">
        <x:f>'Revenue'!E17-'Revenue'!E16/4</x:f>
        <x:v>0</x:v>
      </x:c>
      <x:c r="F9" s="31" t="n">
        <x:f>'Revenue'!F17-'Revenue'!F16/4</x:f>
        <x:v>0</x:v>
      </x:c>
      <x:c r="G9" s="31" t="n">
        <x:f>'Revenue'!G17-'Revenue'!G16/4</x:f>
        <x:v>0</x:v>
      </x:c>
      <x:c r="H9" s="31" t="n">
        <x:f>'Revenue'!H17-'Revenue'!H16/4</x:f>
        <x:v>0</x:v>
      </x:c>
      <x:c r="I9" s="31" t="n">
        <x:f>'Revenue'!I17-'Revenue'!I16/4</x:f>
        <x:v>0</x:v>
      </x:c>
      <x:c r="J9" s="31" t="n">
        <x:f>'Revenue'!J17-'Revenue'!J16/4</x:f>
        <x:v>0</x:v>
      </x:c>
      <x:c r="K9" s="31" t="n">
        <x:f>'Revenue'!K17-'Revenue'!K16/4</x:f>
        <x:v>0</x:v>
      </x:c>
      <x:c r="L9" s="31" t="n">
        <x:f>'Revenue'!L17-'Revenue'!L16/4</x:f>
        <x:v>0</x:v>
      </x:c>
      <x:c r="M9" s="31" t="n">
        <x:f>'Revenue'!M17-'Revenue'!M16/4</x:f>
        <x:v>0</x:v>
      </x:c>
      <x:c r="N9" s="31" t="n">
        <x:f>'Revenue'!N17-'Revenue'!N16/4</x:f>
        <x:v>0</x:v>
      </x:c>
      <x:c r="O9" s="31" t="n">
        <x:f>'Revenue'!O17-'Revenue'!O16/4</x:f>
        <x:v>0</x:v>
      </x:c>
      <x:c r="P9" s="31" t="n">
        <x:f>'Revenue'!P17-'Revenue'!P16/4</x:f>
        <x:v>0</x:v>
      </x:c>
      <x:c r="Q9" s="31" t="n">
        <x:f>'Revenue'!Q17-'Revenue'!Q16/4</x:f>
        <x:v>0</x:v>
      </x:c>
      <x:c r="R9" s="31" t="n">
        <x:f>'Revenue'!R17-'Revenue'!R16/4</x:f>
        <x:v>0</x:v>
      </x:c>
      <x:c r="S9" s="31" t="n">
        <x:f>'Revenue'!S17-'Revenue'!S16/4</x:f>
        <x:v>0</x:v>
      </x:c>
      <x:c r="T9" s="31" t="n">
        <x:f>'Revenue'!T17-'Revenue'!T16/4</x:f>
        <x:v>0</x:v>
      </x:c>
    </x:row>
    <x:row r="10" ht="25" customHeight="1">
      <x:c r="A10" s="2"/>
      <x:c r="B10" s="2"/>
      <x:c r="C10" s="32" t="str">
        <x:v>Billings, revenue and deferred revenue</x:v>
      </x:c>
      <x:c r="D10" s="31" t="n">
        <x:f>'Financials'!D43-'Financials'!D7-'Financials'!D46+0</x:f>
        <x:v>0</x:v>
      </x:c>
      <x:c r="E10" s="31" t="n">
        <x:f>'Financials'!E43-'Financials'!E7-'Financials'!E46+'Financials'!D46</x:f>
        <x:v>0</x:v>
      </x:c>
      <x:c r="F10" s="31" t="n">
        <x:f>'Financials'!F43-'Financials'!F7-'Financials'!F46+'Financials'!E46</x:f>
        <x:v>1.4551915228366852e-11</x:v>
      </x:c>
      <x:c r="G10" s="31" t="n">
        <x:f>'Financials'!G43-'Financials'!G7-'Financials'!G46+'Financials'!F46</x:f>
        <x:v>0</x:v>
      </x:c>
      <x:c r="H10" s="31" t="n">
        <x:f>'Financials'!H43-'Financials'!H7-'Financials'!H46+'Financials'!G46</x:f>
        <x:v>5.820766091346741e-11</x:v>
      </x:c>
      <x:c r="I10" s="31" t="n">
        <x:f>'Financials'!I43-'Financials'!I7-'Financials'!I46+'Financials'!H46</x:f>
        <x:v>0</x:v>
      </x:c>
      <x:c r="J10" s="31" t="n">
        <x:f>'Financials'!J43-'Financials'!J7-'Financials'!J46+'Financials'!I46</x:f>
        <x:v>1.1641532182693481e-10</x:v>
      </x:c>
      <x:c r="K10" s="31" t="n">
        <x:f>'Financials'!K43-'Financials'!K7-'Financials'!K46+'Financials'!J46</x:f>
        <x:v>0</x:v>
      </x:c>
      <x:c r="L10" s="31" t="n">
        <x:f>'Financials'!L43-'Financials'!L7-'Financials'!L46+'Financials'!K46</x:f>
        <x:v>0</x:v>
      </x:c>
      <x:c r="M10" s="31" t="n">
        <x:f>'Financials'!M43-'Financials'!M7-'Financials'!M46+'Financials'!L46</x:f>
        <x:v>0</x:v>
      </x:c>
      <x:c r="N10" s="31" t="n">
        <x:f>'Financials'!N43-'Financials'!N7-'Financials'!N46+'Financials'!M46</x:f>
        <x:v>0</x:v>
      </x:c>
      <x:c r="O10" s="31" t="n">
        <x:f>'Financials'!O43-'Financials'!O7-'Financials'!O46+'Financials'!N46</x:f>
        <x:v>0</x:v>
      </x:c>
      <x:c r="P10" s="31" t="n">
        <x:f>'Financials'!P43-'Financials'!P7-'Financials'!P46+'Financials'!O46</x:f>
        <x:v>0</x:v>
      </x:c>
      <x:c r="Q10" s="31" t="n">
        <x:f>'Financials'!Q43-'Financials'!Q7-'Financials'!Q46+'Financials'!P46</x:f>
        <x:v>-1.862645149230957e-9</x:v>
      </x:c>
      <x:c r="R10" s="31" t="n">
        <x:f>'Financials'!R43-'Financials'!R7-'Financials'!R46+'Financials'!Q46</x:f>
        <x:v>0</x:v>
      </x:c>
      <x:c r="S10" s="31" t="n">
        <x:f>'Financials'!S43-'Financials'!S7-'Financials'!S46+'Financials'!R46</x:f>
        <x:v>0</x:v>
      </x:c>
      <x:c r="T10" s="31" t="n">
        <x:f>'Financials'!T43-'Financials'!T7-'Financials'!T46+'Financials'!S46</x:f>
        <x:v>0</x:v>
      </x:c>
    </x:row>
    <x:row r="11" ht="25" customHeight="1">
      <x:c r="A11" s="2"/>
      <x:c r="B11" s="2"/>
      <x:c r="C11" s="32" t="str">
        <x:v>Billings, collections and receivables</x:v>
      </x:c>
      <x:c r="D11" s="31" t="n">
        <x:f>'Financials'!D43-'Financials'!D44-'Financials'!D45+0</x:f>
        <x:v>0</x:v>
      </x:c>
      <x:c r="E11" s="31" t="n">
        <x:f>'Financials'!E43-'Financials'!E44-'Financials'!E45+'Financials'!D45</x:f>
        <x:v>0</x:v>
      </x:c>
      <x:c r="F11" s="31" t="n">
        <x:f>'Financials'!F43-'Financials'!F44-'Financials'!F45+'Financials'!E45</x:f>
        <x:v>0</x:v>
      </x:c>
      <x:c r="G11" s="31" t="n">
        <x:f>'Financials'!G43-'Financials'!G44-'Financials'!G45+'Financials'!F45</x:f>
        <x:v>0</x:v>
      </x:c>
      <x:c r="H11" s="31" t="n">
        <x:f>'Financials'!H43-'Financials'!H44-'Financials'!H45+'Financials'!G45</x:f>
        <x:v>0</x:v>
      </x:c>
      <x:c r="I11" s="31" t="n">
        <x:f>'Financials'!I43-'Financials'!I44-'Financials'!I45+'Financials'!H45</x:f>
        <x:v>2.9103830456733704e-11</x:v>
      </x:c>
      <x:c r="J11" s="31" t="n">
        <x:f>'Financials'!J43-'Financials'!J44-'Financials'!J45+'Financials'!I45</x:f>
        <x:v>1.1641532182693481e-10</x:v>
      </x:c>
      <x:c r="K11" s="31" t="n">
        <x:f>'Financials'!K43-'Financials'!K44-'Financials'!K45+'Financials'!J45</x:f>
        <x:v>0</x:v>
      </x:c>
      <x:c r="L11" s="31" t="n">
        <x:f>'Financials'!L43-'Financials'!L44-'Financials'!L45+'Financials'!K45</x:f>
        <x:v>-2.3283064365386963e-10</x:v>
      </x:c>
      <x:c r="M11" s="31" t="n">
        <x:f>'Financials'!M43-'Financials'!M44-'Financials'!M45+'Financials'!L45</x:f>
        <x:v>4.656612873077393e-10</x:v>
      </x:c>
      <x:c r="N11" s="31" t="n">
        <x:f>'Financials'!N43-'Financials'!N44-'Financials'!N45+'Financials'!M45</x:f>
        <x:v>0</x:v>
      </x:c>
      <x:c r="O11" s="31" t="n">
        <x:f>'Financials'!O43-'Financials'!O44-'Financials'!O45+'Financials'!N45</x:f>
        <x:v>0</x:v>
      </x:c>
      <x:c r="P11" s="31" t="n">
        <x:f>'Financials'!P43-'Financials'!P44-'Financials'!P45+'Financials'!O45</x:f>
        <x:v>0</x:v>
      </x:c>
      <x:c r="Q11" s="31" t="n">
        <x:f>'Financials'!Q43-'Financials'!Q44-'Financials'!Q45+'Financials'!P45</x:f>
        <x:v>1.862645149230957e-9</x:v>
      </x:c>
      <x:c r="R11" s="31" t="n">
        <x:f>'Financials'!R43-'Financials'!R44-'Financials'!R45+'Financials'!Q45</x:f>
        <x:v>0</x:v>
      </x:c>
      <x:c r="S11" s="31" t="n">
        <x:f>'Financials'!S43-'Financials'!S44-'Financials'!S45+'Financials'!R45</x:f>
        <x:v>0</x:v>
      </x:c>
      <x:c r="T11" s="31" t="n">
        <x:f>'Financials'!T43-'Financials'!T44-'Financials'!T45+'Financials'!S45</x:f>
        <x:v>0</x:v>
      </x:c>
    </x:row>
    <x:row r="12" ht="25" customHeight="1">
      <x:c r="A12" s="2"/>
      <x:c r="B12" s="2"/>
      <x:c r="C12" s="32" t="str">
        <x:v>Cash roll-forward</x:v>
      </x:c>
      <x:c r="D12" s="31" t="n">
        <x:f>0+'Financials'!D49+'Financials'!D50-'Financials'!D51</x:f>
        <x:v>0</x:v>
      </x:c>
      <x:c r="E12" s="31" t="n">
        <x:f>'Financials'!D51+'Financials'!E49+'Financials'!E50-'Financials'!E51</x:f>
        <x:v>0</x:v>
      </x:c>
      <x:c r="F12" s="31" t="n">
        <x:f>'Financials'!E51+'Financials'!F49+'Financials'!F50-'Financials'!F51</x:f>
        <x:v>0</x:v>
      </x:c>
      <x:c r="G12" s="31" t="n">
        <x:f>'Financials'!F51+'Financials'!G49+'Financials'!G50-'Financials'!G51</x:f>
        <x:v>0</x:v>
      </x:c>
      <x:c r="H12" s="31" t="n">
        <x:f>'Financials'!G51+'Financials'!H49+'Financials'!H50-'Financials'!H51</x:f>
        <x:v>0</x:v>
      </x:c>
      <x:c r="I12" s="31" t="n">
        <x:f>'Financials'!H51+'Financials'!I49+'Financials'!I50-'Financials'!I51</x:f>
        <x:v>0</x:v>
      </x:c>
      <x:c r="J12" s="31" t="n">
        <x:f>'Financials'!I51+'Financials'!J49+'Financials'!J50-'Financials'!J51</x:f>
        <x:v>0</x:v>
      </x:c>
      <x:c r="K12" s="31" t="n">
        <x:f>'Financials'!J51+'Financials'!K49+'Financials'!K50-'Financials'!K51</x:f>
        <x:v>0</x:v>
      </x:c>
      <x:c r="L12" s="31" t="n">
        <x:f>'Financials'!K51+'Financials'!L49+'Financials'!L50-'Financials'!L51</x:f>
        <x:v>0</x:v>
      </x:c>
      <x:c r="M12" s="31" t="n">
        <x:f>'Financials'!L51+'Financials'!M49+'Financials'!M50-'Financials'!M51</x:f>
        <x:v>0</x:v>
      </x:c>
      <x:c r="N12" s="31" t="n">
        <x:f>'Financials'!M51+'Financials'!N49+'Financials'!N50-'Financials'!N51</x:f>
        <x:v>0</x:v>
      </x:c>
      <x:c r="O12" s="31" t="n">
        <x:f>'Financials'!N51+'Financials'!O49+'Financials'!O50-'Financials'!O51</x:f>
        <x:v>0</x:v>
      </x:c>
      <x:c r="P12" s="31" t="n">
        <x:f>'Financials'!O51+'Financials'!P49+'Financials'!P50-'Financials'!P51</x:f>
        <x:v>0</x:v>
      </x:c>
      <x:c r="Q12" s="31" t="n">
        <x:f>'Financials'!P51+'Financials'!Q49+'Financials'!Q50-'Financials'!Q51</x:f>
        <x:v>0</x:v>
      </x:c>
      <x:c r="R12" s="31" t="n">
        <x:f>'Financials'!Q51+'Financials'!R49+'Financials'!R50-'Financials'!R51</x:f>
        <x:v>0</x:v>
      </x:c>
      <x:c r="S12" s="31" t="n">
        <x:f>'Financials'!R51+'Financials'!S49+'Financials'!S50-'Financials'!S51</x:f>
        <x:v>0</x:v>
      </x:c>
      <x:c r="T12" s="31" t="n">
        <x:f>'Financials'!S51+'Financials'!T49+'Financials'!T50-'Financials'!T51</x:f>
        <x:v>0</x:v>
      </x:c>
    </x:row>
    <x:row r="13" ht="25" customHeight="1">
      <x:c r="A13" s="2"/>
      <x:c r="B13" s="2"/>
      <x:c r="C13" s="32" t="str">
        <x:v>Payroll allocation</x:v>
      </x:c>
      <x:c r="D13" s="31" t="n">
        <x:f>'People'!D32-'Financials'!D12-'Financials'!D18-'Financials'!D24-'Financials'!D31</x:f>
        <x:v>0</x:v>
      </x:c>
      <x:c r="E13" s="31" t="n">
        <x:f>'People'!E32-'Financials'!E12-'Financials'!E18-'Financials'!E24-'Financials'!E31</x:f>
        <x:v>0</x:v>
      </x:c>
      <x:c r="F13" s="31" t="n">
        <x:f>'People'!F32-'Financials'!F12-'Financials'!F18-'Financials'!F24-'Financials'!F31</x:f>
        <x:v>0</x:v>
      </x:c>
      <x:c r="G13" s="31" t="n">
        <x:f>'People'!G32-'Financials'!G12-'Financials'!G18-'Financials'!G24-'Financials'!G31</x:f>
        <x:v>0</x:v>
      </x:c>
      <x:c r="H13" s="31" t="n">
        <x:f>'People'!H32-'Financials'!H12-'Financials'!H18-'Financials'!H24-'Financials'!H31</x:f>
        <x:v>0</x:v>
      </x:c>
      <x:c r="I13" s="31" t="n">
        <x:f>'People'!I32-'Financials'!I12-'Financials'!I18-'Financials'!I24-'Financials'!I31</x:f>
        <x:v>0</x:v>
      </x:c>
      <x:c r="J13" s="31" t="n">
        <x:f>'People'!J32-'Financials'!J12-'Financials'!J18-'Financials'!J24-'Financials'!J31</x:f>
        <x:v>0</x:v>
      </x:c>
      <x:c r="K13" s="31" t="n">
        <x:f>'People'!K32-'Financials'!K12-'Financials'!K18-'Financials'!K24-'Financials'!K31</x:f>
        <x:v>0</x:v>
      </x:c>
      <x:c r="L13" s="31" t="n">
        <x:f>'People'!L32-'Financials'!L12-'Financials'!L18-'Financials'!L24-'Financials'!L31</x:f>
        <x:v>0</x:v>
      </x:c>
      <x:c r="M13" s="31" t="n">
        <x:f>'People'!M32-'Financials'!M12-'Financials'!M18-'Financials'!M24-'Financials'!M31</x:f>
        <x:v>-3.4924596548080444e-10</x:v>
      </x:c>
      <x:c r="N13" s="31" t="n">
        <x:f>'People'!N32-'Financials'!N12-'Financials'!N18-'Financials'!N24-'Financials'!N31</x:f>
        <x:v>3.4924596548080444e-10</x:v>
      </x:c>
      <x:c r="O13" s="31" t="n">
        <x:f>'People'!O32-'Financials'!O12-'Financials'!O18-'Financials'!O24-'Financials'!O31</x:f>
        <x:v>-2.3283064365386963e-10</x:v>
      </x:c>
      <x:c r="P13" s="31" t="n">
        <x:f>'People'!P32-'Financials'!P12-'Financials'!P18-'Financials'!P24-'Financials'!P31</x:f>
        <x:v>0</x:v>
      </x:c>
      <x:c r="Q13" s="31" t="n">
        <x:f>'People'!Q32-'Financials'!Q12-'Financials'!Q18-'Financials'!Q24-'Financials'!Q31</x:f>
        <x:v>4.656612873077393e-10</x:v>
      </x:c>
      <x:c r="R13" s="31" t="n">
        <x:f>'People'!R32-'Financials'!R12-'Financials'!R18-'Financials'!R24-'Financials'!R31</x:f>
        <x:v>-1.1641532182693481e-9</x:v>
      </x:c>
      <x:c r="S13" s="31" t="n">
        <x:f>'People'!S32-'Financials'!S12-'Financials'!S18-'Financials'!S24-'Financials'!S31</x:f>
        <x:v>-1.1641532182693481e-9</x:v>
      </x:c>
      <x:c r="T13" s="31" t="n">
        <x:f>'People'!T32-'Financials'!T12-'Financials'!T18-'Financials'!T24-'Financials'!T31</x:f>
        <x:v>0</x:v>
      </x:c>
    </x:row>
    <x:row r="14" ht="25" customHeight="1">
      <x:c r="A14" s="2"/>
      <x:c r="B14" s="2"/>
      <x:c r="C14" s="32" t="str">
        <x:v>Equipment asset roll-forward</x:v>
      </x:c>
      <x:c r="D14" s="31" t="n">
        <x:f>0+'Financials'!D47-'Financials'!D39-'Financials'!D48</x:f>
        <x:v>0</x:v>
      </x:c>
      <x:c r="E14" s="31" t="n">
        <x:f>'Financials'!D48+'Financials'!E47-'Financials'!E39-'Financials'!E48</x:f>
        <x:v>0</x:v>
      </x:c>
      <x:c r="F14" s="31" t="n">
        <x:f>'Financials'!E48+'Financials'!F47-'Financials'!F39-'Financials'!F48</x:f>
        <x:v>0</x:v>
      </x:c>
      <x:c r="G14" s="31" t="n">
        <x:f>'Financials'!F48+'Financials'!G47-'Financials'!G39-'Financials'!G48</x:f>
        <x:v>0</x:v>
      </x:c>
      <x:c r="H14" s="31" t="n">
        <x:f>'Financials'!G48+'Financials'!H47-'Financials'!H39-'Financials'!H48</x:f>
        <x:v>0</x:v>
      </x:c>
      <x:c r="I14" s="31" t="n">
        <x:f>'Financials'!H48+'Financials'!I47-'Financials'!I39-'Financials'!I48</x:f>
        <x:v>0</x:v>
      </x:c>
      <x:c r="J14" s="31" t="n">
        <x:f>'Financials'!I48+'Financials'!J47-'Financials'!J39-'Financials'!J48</x:f>
        <x:v>0</x:v>
      </x:c>
      <x:c r="K14" s="31" t="n">
        <x:f>'Financials'!J48+'Financials'!K47-'Financials'!K39-'Financials'!K48</x:f>
        <x:v>0</x:v>
      </x:c>
      <x:c r="L14" s="31" t="n">
        <x:f>'Financials'!K48+'Financials'!L47-'Financials'!L39-'Financials'!L48</x:f>
        <x:v>0</x:v>
      </x:c>
      <x:c r="M14" s="31" t="n">
        <x:f>'Financials'!L48+'Financials'!M47-'Financials'!M39-'Financials'!M48</x:f>
        <x:v>0</x:v>
      </x:c>
      <x:c r="N14" s="31" t="n">
        <x:f>'Financials'!M48+'Financials'!N47-'Financials'!N39-'Financials'!N48</x:f>
        <x:v>0</x:v>
      </x:c>
      <x:c r="O14" s="31" t="n">
        <x:f>'Financials'!N48+'Financials'!O47-'Financials'!O39-'Financials'!O48</x:f>
        <x:v>0</x:v>
      </x:c>
      <x:c r="P14" s="31" t="n">
        <x:f>'Financials'!O48+'Financials'!P47-'Financials'!P39-'Financials'!P48</x:f>
        <x:v>0</x:v>
      </x:c>
      <x:c r="Q14" s="31" t="n">
        <x:f>'Financials'!P48+'Financials'!Q47-'Financials'!Q39-'Financials'!Q48</x:f>
        <x:v>0</x:v>
      </x:c>
      <x:c r="R14" s="31" t="n">
        <x:f>'Financials'!Q48+'Financials'!R47-'Financials'!R39-'Financials'!R48</x:f>
        <x:v>0</x:v>
      </x:c>
      <x:c r="S14" s="31" t="n">
        <x:f>'Financials'!R48+'Financials'!S47-'Financials'!S39-'Financials'!S48</x:f>
        <x:v>0</x:v>
      </x:c>
      <x:c r="T14" s="31" t="n">
        <x:f>'Financials'!S48+'Financials'!T47-'Financials'!T39-'Financials'!T48</x:f>
        <x:v>0</x:v>
      </x:c>
    </x:row>
    <x:row r="15" ht="25" customHeight="1">
      <x:c r="A15" s="2"/>
      <x:c r="B15" s="2"/>
      <x:c r="C15" s="32" t="str">
        <x:v>Activations above delivery capacity</x:v>
      </x:c>
      <x:c r="D15" s="31" t="n">
        <x:f>MAX(0,'Sales'!D25-'Sales'!D24)</x:f>
        <x:v>0</x:v>
      </x:c>
      <x:c r="E15" s="31" t="n">
        <x:f>MAX(0,'Sales'!E25-'Sales'!E24)</x:f>
        <x:v>0</x:v>
      </x:c>
      <x:c r="F15" s="31" t="n">
        <x:f>MAX(0,'Sales'!F25-'Sales'!F24)</x:f>
        <x:v>0</x:v>
      </x:c>
      <x:c r="G15" s="31" t="n">
        <x:f>MAX(0,'Sales'!G25-'Sales'!G24)</x:f>
        <x:v>0</x:v>
      </x:c>
      <x:c r="H15" s="31" t="n">
        <x:f>MAX(0,'Sales'!H25-'Sales'!H24)</x:f>
        <x:v>0</x:v>
      </x:c>
      <x:c r="I15" s="31" t="n">
        <x:f>MAX(0,'Sales'!I25-'Sales'!I24)</x:f>
        <x:v>0</x:v>
      </x:c>
      <x:c r="J15" s="31" t="n">
        <x:f>MAX(0,'Sales'!J25-'Sales'!J24)</x:f>
        <x:v>0</x:v>
      </x:c>
      <x:c r="K15" s="31" t="n">
        <x:f>MAX(0,'Sales'!K25-'Sales'!K24)</x:f>
        <x:v>0</x:v>
      </x:c>
      <x:c r="L15" s="31" t="n">
        <x:f>MAX(0,'Sales'!L25-'Sales'!L24)</x:f>
        <x:v>0</x:v>
      </x:c>
      <x:c r="M15" s="31" t="n">
        <x:f>MAX(0,'Sales'!M25-'Sales'!M24)</x:f>
        <x:v>0</x:v>
      </x:c>
      <x:c r="N15" s="31" t="n">
        <x:f>MAX(0,'Sales'!N25-'Sales'!N24)</x:f>
        <x:v>0</x:v>
      </x:c>
      <x:c r="O15" s="31" t="n">
        <x:f>MAX(0,'Sales'!O25-'Sales'!O24)</x:f>
        <x:v>0</x:v>
      </x:c>
      <x:c r="P15" s="31" t="n">
        <x:f>MAX(0,'Sales'!P25-'Sales'!P24)</x:f>
        <x:v>0</x:v>
      </x:c>
      <x:c r="Q15" s="31" t="n">
        <x:f>MAX(0,'Sales'!Q25-'Sales'!Q24)</x:f>
        <x:v>0</x:v>
      </x:c>
      <x:c r="R15" s="31" t="n">
        <x:f>MAX(0,'Sales'!R25-'Sales'!R24)</x:f>
        <x:v>0</x:v>
      </x:c>
      <x:c r="S15" s="31" t="n">
        <x:f>MAX(0,'Sales'!S25-'Sales'!S24)</x:f>
        <x:v>0</x:v>
      </x:c>
      <x:c r="T15" s="31" t="n">
        <x:f>MAX(0,'Sales'!T25-'Sales'!T24)</x:f>
        <x:v>0</x:v>
      </x:c>
    </x:row>
    <x:row r="16" ht="25" customHeight="1">
      <x:c r="A16" s="2"/>
      <x:c r="B16" s="2"/>
      <x:c r="C16" s="32" t="str">
        <x:v>Signed contracts and total backlog</x:v>
      </x:c>
      <x:c r="D16" s="31" t="n">
        <x:f>SUM('Sales'!$D$18:D18)-SUM('Sales'!$D$25:D25)-'Sales'!D33</x:f>
        <x:v>0</x:v>
      </x:c>
      <x:c r="E16" s="31" t="n">
        <x:f>SUM('Sales'!$D$18:E18)-SUM('Sales'!$D$25:E25)-'Sales'!E33</x:f>
        <x:v>0</x:v>
      </x:c>
      <x:c r="F16" s="31" t="n">
        <x:f>SUM('Sales'!$D$18:F18)-SUM('Sales'!$D$25:F25)-'Sales'!F33</x:f>
        <x:v>0</x:v>
      </x:c>
      <x:c r="G16" s="31" t="n">
        <x:f>SUM('Sales'!$D$18:G18)-SUM('Sales'!$D$25:G25)-'Sales'!G33</x:f>
        <x:v>0</x:v>
      </x:c>
      <x:c r="H16" s="31" t="n">
        <x:f>SUM('Sales'!$D$18:H18)-SUM('Sales'!$D$25:H25)-'Sales'!H33</x:f>
        <x:v>0</x:v>
      </x:c>
      <x:c r="I16" s="31" t="n">
        <x:f>SUM('Sales'!$D$18:I18)-SUM('Sales'!$D$25:I25)-'Sales'!I33</x:f>
        <x:v>0</x:v>
      </x:c>
      <x:c r="J16" s="31" t="n">
        <x:f>SUM('Sales'!$D$18:J18)-SUM('Sales'!$D$25:J25)-'Sales'!J33</x:f>
        <x:v>0</x:v>
      </x:c>
      <x:c r="K16" s="31" t="n">
        <x:f>SUM('Sales'!$D$18:K18)-SUM('Sales'!$D$25:K25)-'Sales'!K33</x:f>
        <x:v>0</x:v>
      </x:c>
      <x:c r="L16" s="31" t="n">
        <x:f>SUM('Sales'!$D$18:L18)-SUM('Sales'!$D$25:L25)-'Sales'!L33</x:f>
        <x:v>0</x:v>
      </x:c>
      <x:c r="M16" s="31" t="n">
        <x:f>SUM('Sales'!$D$18:M18)-SUM('Sales'!$D$25:M25)-'Sales'!M33</x:f>
        <x:v>0</x:v>
      </x:c>
      <x:c r="N16" s="31" t="n">
        <x:f>SUM('Sales'!$D$18:N18)-SUM('Sales'!$D$25:N25)-'Sales'!N33</x:f>
        <x:v>0</x:v>
      </x:c>
      <x:c r="O16" s="31" t="n">
        <x:f>SUM('Sales'!$D$18:O18)-SUM('Sales'!$D$25:O25)-'Sales'!O33</x:f>
        <x:v>0</x:v>
      </x:c>
      <x:c r="P16" s="31" t="n">
        <x:f>SUM('Sales'!$D$18:P18)-SUM('Sales'!$D$25:P25)-'Sales'!P33</x:f>
        <x:v>0</x:v>
      </x:c>
      <x:c r="Q16" s="31" t="n">
        <x:f>SUM('Sales'!$D$18:Q18)-SUM('Sales'!$D$25:Q25)-'Sales'!Q33</x:f>
        <x:v>0</x:v>
      </x:c>
      <x:c r="R16" s="31" t="n">
        <x:f>SUM('Sales'!$D$18:R18)-SUM('Sales'!$D$25:R25)-'Sales'!R33</x:f>
        <x:v>0</x:v>
      </x:c>
      <x:c r="S16" s="31" t="n">
        <x:f>SUM('Sales'!$D$18:S18)-SUM('Sales'!$D$25:S25)-'Sales'!S33</x:f>
        <x:v>0</x:v>
      </x:c>
      <x:c r="T16" s="31" t="n">
        <x:f>SUM('Sales'!$D$18:T18)-SUM('Sales'!$D$25:T25)-'Sales'!T33</x:f>
        <x:v>0</x:v>
      </x:c>
    </x:row>
    <x:row r="17" ht="25" customHeight="1">
      <x:c r="A17" s="2"/>
      <x:c r="B17" s="2"/>
      <x:c r="C17" s="32" t="str">
        <x:v>Negative backlog</x:v>
      </x:c>
      <x:c r="D17" s="31" t="n">
        <x:f>MIN(0,'Sales'!D33,'Sales'!D30,'Sales'!D31)</x:f>
        <x:v>0</x:v>
      </x:c>
      <x:c r="E17" s="31" t="n">
        <x:f>MIN(0,'Sales'!E33,'Sales'!E30,'Sales'!E31)</x:f>
        <x:v>0</x:v>
      </x:c>
      <x:c r="F17" s="31" t="n">
        <x:f>MIN(0,'Sales'!F33,'Sales'!F30,'Sales'!F31)</x:f>
        <x:v>0</x:v>
      </x:c>
      <x:c r="G17" s="31" t="n">
        <x:f>MIN(0,'Sales'!G33,'Sales'!G30,'Sales'!G31)</x:f>
        <x:v>0</x:v>
      </x:c>
      <x:c r="H17" s="31" t="n">
        <x:f>MIN(0,'Sales'!H33,'Sales'!H30,'Sales'!H31)</x:f>
        <x:v>0</x:v>
      </x:c>
      <x:c r="I17" s="31" t="n">
        <x:f>MIN(0,'Sales'!I33,'Sales'!I30,'Sales'!I31)</x:f>
        <x:v>-1.7763568394002505e-15</x:v>
      </x:c>
      <x:c r="J17" s="31" t="n">
        <x:f>MIN(0,'Sales'!J33,'Sales'!J30,'Sales'!J31)</x:f>
        <x:v>0</x:v>
      </x:c>
      <x:c r="K17" s="31" t="n">
        <x:f>MIN(0,'Sales'!K33,'Sales'!K30,'Sales'!K31)</x:f>
        <x:v>0</x:v>
      </x:c>
      <x:c r="L17" s="31" t="n">
        <x:f>MIN(0,'Sales'!L33,'Sales'!L30,'Sales'!L31)</x:f>
        <x:v>0</x:v>
      </x:c>
      <x:c r="M17" s="31" t="n">
        <x:f>MIN(0,'Sales'!M33,'Sales'!M30,'Sales'!M31)</x:f>
        <x:v>0</x:v>
      </x:c>
      <x:c r="N17" s="31" t="n">
        <x:f>MIN(0,'Sales'!N33,'Sales'!N30,'Sales'!N31)</x:f>
        <x:v>0</x:v>
      </x:c>
      <x:c r="O17" s="31" t="n">
        <x:f>MIN(0,'Sales'!O33,'Sales'!O30,'Sales'!O31)</x:f>
        <x:v>0</x:v>
      </x:c>
      <x:c r="P17" s="31" t="n">
        <x:f>MIN(0,'Sales'!P33,'Sales'!P30,'Sales'!P31)</x:f>
        <x:v>0</x:v>
      </x:c>
      <x:c r="Q17" s="31" t="n">
        <x:f>MIN(0,'Sales'!Q33,'Sales'!Q30,'Sales'!Q31)</x:f>
        <x:v>-2.842170943040401e-14</x:v>
      </x:c>
      <x:c r="R17" s="31" t="n">
        <x:f>MIN(0,'Sales'!R33,'Sales'!R30,'Sales'!R31)</x:f>
        <x:v>-5.684341886080802e-14</x:v>
      </x:c>
      <x:c r="S17" s="31" t="n">
        <x:f>MIN(0,'Sales'!S33,'Sales'!S30,'Sales'!S31)</x:f>
        <x:v>0</x:v>
      </x:c>
      <x:c r="T17" s="31" t="n">
        <x:f>MIN(0,'Sales'!T33,'Sales'!T30,'Sales'!T31)</x:f>
        <x:v>0</x:v>
      </x:c>
    </x:row>
    <x:row r="18" ht="25" customHeight="1">
      <x:c r="A18" s="2"/>
      <x:c r="B18" s="2"/>
      <x:c r="C18" s="32" t="str">
        <x:v>AE headcount above sales headcount</x:v>
      </x:c>
      <x:c r="D18" s="31" t="n">
        <x:f>MAX(0,'People'!D13-'People'!D9)</x:f>
        <x:v>0</x:v>
      </x:c>
      <x:c r="E18" s="31" t="n">
        <x:f>MAX(0,'People'!E13-'People'!E9)</x:f>
        <x:v>0</x:v>
      </x:c>
      <x:c r="F18" s="31" t="n">
        <x:f>MAX(0,'People'!F13-'People'!F9)</x:f>
        <x:v>0</x:v>
      </x:c>
      <x:c r="G18" s="31" t="n">
        <x:f>MAX(0,'People'!G13-'People'!G9)</x:f>
        <x:v>0</x:v>
      </x:c>
      <x:c r="H18" s="31" t="n">
        <x:f>MAX(0,'People'!H13-'People'!H9)</x:f>
        <x:v>0</x:v>
      </x:c>
      <x:c r="I18" s="31" t="n">
        <x:f>MAX(0,'People'!I13-'People'!I9)</x:f>
        <x:v>0</x:v>
      </x:c>
      <x:c r="J18" s="31" t="n">
        <x:f>MAX(0,'People'!J13-'People'!J9)</x:f>
        <x:v>0</x:v>
      </x:c>
      <x:c r="K18" s="31" t="n">
        <x:f>MAX(0,'People'!K13-'People'!K9)</x:f>
        <x:v>0</x:v>
      </x:c>
      <x:c r="L18" s="31" t="n">
        <x:f>MAX(0,'People'!L13-'People'!L9)</x:f>
        <x:v>0</x:v>
      </x:c>
      <x:c r="M18" s="31" t="n">
        <x:f>MAX(0,'People'!M13-'People'!M9)</x:f>
        <x:v>0</x:v>
      </x:c>
      <x:c r="N18" s="31" t="n">
        <x:f>MAX(0,'People'!N13-'People'!N9)</x:f>
        <x:v>0</x:v>
      </x:c>
      <x:c r="O18" s="31" t="n">
        <x:f>MAX(0,'People'!O13-'People'!O9)</x:f>
        <x:v>0</x:v>
      </x:c>
      <x:c r="P18" s="31" t="n">
        <x:f>MAX(0,'People'!P13-'People'!P9)</x:f>
        <x:v>0</x:v>
      </x:c>
      <x:c r="Q18" s="31" t="n">
        <x:f>MAX(0,'People'!Q13-'People'!Q9)</x:f>
        <x:v>0</x:v>
      </x:c>
      <x:c r="R18" s="31" t="n">
        <x:f>MAX(0,'People'!R13-'People'!R9)</x:f>
        <x:v>0</x:v>
      </x:c>
      <x:c r="S18" s="31" t="n">
        <x:f>MAX(0,'People'!S13-'People'!S9)</x:f>
        <x:v>0</x:v>
      </x:c>
      <x:c r="T18" s="31" t="n">
        <x:f>MAX(0,'People'!T13-'People'!T9)</x:f>
        <x:v>0</x:v>
      </x:c>
    </x:row>
    <x:row r="19" ht="25" customHeight="1">
      <x:c r="A19" s="2"/>
      <x:c r="B19" s="2"/>
      <x:c r="C19" s="32" t="str">
        <x:v>EBIT reconciliation</x:v>
      </x:c>
      <x:c r="D19" s="31" t="n">
        <x:f>'Financials'!D7-'Financials'!D37-'Financials'!D39-'Financials'!D40</x:f>
        <x:v>0</x:v>
      </x:c>
      <x:c r="E19" s="31" t="n">
        <x:f>'Financials'!E7-'Financials'!E37-'Financials'!E39-'Financials'!E40</x:f>
        <x:v>0</x:v>
      </x:c>
      <x:c r="F19" s="31" t="n">
        <x:f>'Financials'!F7-'Financials'!F37-'Financials'!F39-'Financials'!F40</x:f>
        <x:v>0</x:v>
      </x:c>
      <x:c r="G19" s="31" t="n">
        <x:f>'Financials'!G7-'Financials'!G37-'Financials'!G39-'Financials'!G40</x:f>
        <x:v>0</x:v>
      </x:c>
      <x:c r="H19" s="31" t="n">
        <x:f>'Financials'!H7-'Financials'!H37-'Financials'!H39-'Financials'!H40</x:f>
        <x:v>0</x:v>
      </x:c>
      <x:c r="I19" s="31" t="n">
        <x:f>'Financials'!I7-'Financials'!I37-'Financials'!I39-'Financials'!I40</x:f>
        <x:v>0</x:v>
      </x:c>
      <x:c r="J19" s="31" t="n">
        <x:f>'Financials'!J7-'Financials'!J37-'Financials'!J39-'Financials'!J40</x:f>
        <x:v>0</x:v>
      </x:c>
      <x:c r="K19" s="31" t="n">
        <x:f>'Financials'!K7-'Financials'!K37-'Financials'!K39-'Financials'!K40</x:f>
        <x:v>0</x:v>
      </x:c>
      <x:c r="L19" s="31" t="n">
        <x:f>'Financials'!L7-'Financials'!L37-'Financials'!L39-'Financials'!L40</x:f>
        <x:v>0</x:v>
      </x:c>
      <x:c r="M19" s="31" t="n">
        <x:f>'Financials'!M7-'Financials'!M37-'Financials'!M39-'Financials'!M40</x:f>
        <x:v>0</x:v>
      </x:c>
      <x:c r="N19" s="31" t="n">
        <x:f>'Financials'!N7-'Financials'!N37-'Financials'!N39-'Financials'!N40</x:f>
        <x:v>0</x:v>
      </x:c>
      <x:c r="O19" s="31" t="n">
        <x:f>'Financials'!O7-'Financials'!O37-'Financials'!O39-'Financials'!O40</x:f>
        <x:v>0</x:v>
      </x:c>
      <x:c r="P19" s="31" t="n">
        <x:f>'Financials'!P7-'Financials'!P37-'Financials'!P39-'Financials'!P40</x:f>
        <x:v>0</x:v>
      </x:c>
      <x:c r="Q19" s="31" t="n">
        <x:f>'Financials'!Q7-'Financials'!Q37-'Financials'!Q39-'Financials'!Q40</x:f>
        <x:v>0</x:v>
      </x:c>
      <x:c r="R19" s="31" t="n">
        <x:f>'Financials'!R7-'Financials'!R37-'Financials'!R39-'Financials'!R40</x:f>
        <x:v>0</x:v>
      </x:c>
      <x:c r="S19" s="31" t="n">
        <x:f>'Financials'!S7-'Financials'!S37-'Financials'!S39-'Financials'!S40</x:f>
        <x:v>0</x:v>
      </x:c>
      <x:c r="T19" s="31" t="n">
        <x:f>'Financials'!T7-'Financials'!T37-'Financials'!T39-'Financials'!T40</x:f>
        <x:v>0</x:v>
      </x:c>
    </x:row>
    <x:row r="20" ht="25" customHeight="1">
      <x:c r="A20" s="2"/>
      <x:c r="B20" s="2"/>
      <x:c r="C20" s="32" t="str">
        <x:v>Input customer mix total less one</x:v>
      </x:c>
      <x:c r="D20" s="31" t="n">
        <x:f>'Pricing'!D32-1</x:f>
        <x:v>0</x:v>
      </x:c>
      <x:c r="E20" s="31" t="n">
        <x:f>'Pricing'!E32-1</x:f>
        <x:v>0</x:v>
      </x:c>
      <x:c r="F20" s="31" t="n">
        <x:f>'Pricing'!E32-1</x:f>
        <x:v>0</x:v>
      </x:c>
      <x:c r="G20" s="31" t="n">
        <x:f>'Pricing'!E32-1</x:f>
        <x:v>0</x:v>
      </x:c>
      <x:c r="H20" s="31" t="n">
        <x:f>'Pricing'!E32-1</x:f>
        <x:v>0</x:v>
      </x:c>
      <x:c r="I20" s="31" t="n">
        <x:f>'Pricing'!F32-1</x:f>
        <x:v>0</x:v>
      </x:c>
      <x:c r="J20" s="31" t="n">
        <x:f>'Pricing'!F32-1</x:f>
        <x:v>0</x:v>
      </x:c>
      <x:c r="K20" s="31" t="n">
        <x:f>'Pricing'!F32-1</x:f>
        <x:v>0</x:v>
      </x:c>
      <x:c r="L20" s="31" t="n">
        <x:f>'Pricing'!F32-1</x:f>
        <x:v>0</x:v>
      </x:c>
      <x:c r="M20" s="31" t="n">
        <x:f>'Pricing'!G32-1</x:f>
        <x:v>0</x:v>
      </x:c>
      <x:c r="N20" s="31" t="n">
        <x:f>'Pricing'!G32-1</x:f>
        <x:v>0</x:v>
      </x:c>
      <x:c r="O20" s="31" t="n">
        <x:f>'Pricing'!G32-1</x:f>
        <x:v>0</x:v>
      </x:c>
      <x:c r="P20" s="31" t="n">
        <x:f>'Pricing'!G32-1</x:f>
        <x:v>0</x:v>
      </x:c>
      <x:c r="Q20" s="31" t="n">
        <x:f>'Pricing'!H32-1</x:f>
        <x:v>0</x:v>
      </x:c>
      <x:c r="R20" s="31" t="n">
        <x:f>'Pricing'!H32-1</x:f>
        <x:v>0</x:v>
      </x:c>
      <x:c r="S20" s="31" t="n">
        <x:f>'Pricing'!H32-1</x:f>
        <x:v>0</x:v>
      </x:c>
      <x:c r="T20" s="31" t="n">
        <x:f>'Pricing'!H32-1</x:f>
        <x:v>0</x:v>
      </x:c>
    </x:row>
    <x:row r="21" ht="25" customHeight="1">
      <x:c r="A21" s="2"/>
      <x:c r="B21" s="2"/>
      <x:c r="C21" s="32" t="str">
        <x:v>Subscription phase mix total less one</x:v>
      </x:c>
      <x:c r="D21" s="31" t="n">
        <x:f>SUM('Pricing'!G43:G46)-4</x:f>
        <x:v>0</x:v>
      </x:c>
      <x:c r="E21" s="31" t="n">
        <x:f>SUM('Pricing'!G43:G46)-4</x:f>
        <x:v>0</x:v>
      </x:c>
      <x:c r="F21" s="31" t="n">
        <x:f>SUM('Pricing'!G43:G46)-4</x:f>
        <x:v>0</x:v>
      </x:c>
      <x:c r="G21" s="31" t="n">
        <x:f>SUM('Pricing'!G43:G46)-4</x:f>
        <x:v>0</x:v>
      </x:c>
      <x:c r="H21" s="31" t="n">
        <x:f>SUM('Pricing'!G43:G46)-4</x:f>
        <x:v>0</x:v>
      </x:c>
      <x:c r="I21" s="31" t="n">
        <x:f>SUM('Pricing'!G43:G46)-4</x:f>
        <x:v>0</x:v>
      </x:c>
      <x:c r="J21" s="31" t="n">
        <x:f>SUM('Pricing'!G43:G46)-4</x:f>
        <x:v>0</x:v>
      </x:c>
      <x:c r="K21" s="31" t="n">
        <x:f>SUM('Pricing'!G43:G46)-4</x:f>
        <x:v>0</x:v>
      </x:c>
      <x:c r="L21" s="31" t="n">
        <x:f>SUM('Pricing'!G43:G46)-4</x:f>
        <x:v>0</x:v>
      </x:c>
      <x:c r="M21" s="31" t="n">
        <x:f>SUM('Pricing'!G43:G46)-4</x:f>
        <x:v>0</x:v>
      </x:c>
      <x:c r="N21" s="31" t="n">
        <x:f>SUM('Pricing'!G43:G46)-4</x:f>
        <x:v>0</x:v>
      </x:c>
      <x:c r="O21" s="31" t="n">
        <x:f>SUM('Pricing'!G43:G46)-4</x:f>
        <x:v>0</x:v>
      </x:c>
      <x:c r="P21" s="31" t="n">
        <x:f>SUM('Pricing'!G43:G46)-4</x:f>
        <x:v>0</x:v>
      </x:c>
      <x:c r="Q21" s="31" t="n">
        <x:f>SUM('Pricing'!G43:G46)-4</x:f>
        <x:v>0</x:v>
      </x:c>
      <x:c r="R21" s="31" t="n">
        <x:f>SUM('Pricing'!G43:G46)-4</x:f>
        <x:v>0</x:v>
      </x:c>
      <x:c r="S21" s="31" t="n">
        <x:f>SUM('Pricing'!G43:G46)-4</x:f>
        <x:v>0</x:v>
      </x:c>
      <x:c r="T21" s="31" t="n">
        <x:f>SUM('Pricing'!G43:G46)-4</x:f>
        <x:v>0</x:v>
      </x:c>
    </x:row>
    <x:row r="22" ht="25" customHeight="1">
      <x:c r="A22" s="2"/>
      <x:c r="B22" s="2"/>
      <x:c r="C22" s="32" t="str">
        <x:v>Compute allocation payer reconciliation</x:v>
      </x:c>
      <x:c r="D22" s="31" t="n">
        <x:f>'Compute'!D71+'Compute'!D72-('Compute'!$D$24*(1-'Inputs'!D124)+'Compute'!$D$25*'Inputs'!D124)*12</x:f>
        <x:v>0</x:v>
      </x:c>
      <x:c r="E22" s="31" t="n">
        <x:f>'Compute'!E71+'Compute'!E72-('Compute'!$D$24*(1-'Inputs'!E124)+'Compute'!$D$25*'Inputs'!E124)*12</x:f>
        <x:v>0</x:v>
      </x:c>
      <x:c r="F22" s="31" t="n">
        <x:f>'Compute'!E71+'Compute'!E72-('Compute'!$D$24*(1-'Inputs'!E124)+'Compute'!$D$25*'Inputs'!E124)*12</x:f>
        <x:v>0</x:v>
      </x:c>
      <x:c r="G22" s="31" t="n">
        <x:f>'Compute'!E71+'Compute'!E72-('Compute'!$D$24*(1-'Inputs'!E124)+'Compute'!$D$25*'Inputs'!E124)*12</x:f>
        <x:v>0</x:v>
      </x:c>
      <x:c r="H22" s="31" t="n">
        <x:f>'Compute'!E71+'Compute'!E72-('Compute'!$D$24*(1-'Inputs'!E124)+'Compute'!$D$25*'Inputs'!E124)*12</x:f>
        <x:v>0</x:v>
      </x:c>
      <x:c r="I22" s="31" t="n">
        <x:f>'Compute'!F71+'Compute'!F72-('Compute'!$D$24*(1-'Inputs'!F124)+'Compute'!$D$25*'Inputs'!F124)*12</x:f>
        <x:v>0</x:v>
      </x:c>
      <x:c r="J22" s="31" t="n">
        <x:f>'Compute'!F71+'Compute'!F72-('Compute'!$D$24*(1-'Inputs'!F124)+'Compute'!$D$25*'Inputs'!F124)*12</x:f>
        <x:v>0</x:v>
      </x:c>
      <x:c r="K22" s="31" t="n">
        <x:f>'Compute'!F71+'Compute'!F72-('Compute'!$D$24*(1-'Inputs'!F124)+'Compute'!$D$25*'Inputs'!F124)*12</x:f>
        <x:v>0</x:v>
      </x:c>
      <x:c r="L22" s="31" t="n">
        <x:f>'Compute'!F71+'Compute'!F72-('Compute'!$D$24*(1-'Inputs'!F124)+'Compute'!$D$25*'Inputs'!F124)*12</x:f>
        <x:v>0</x:v>
      </x:c>
      <x:c r="M22" s="31" t="n">
        <x:f>'Compute'!G71+'Compute'!G72-('Compute'!$D$24*(1-'Inputs'!G124)+'Compute'!$D$25*'Inputs'!G124)*12</x:f>
        <x:v>0</x:v>
      </x:c>
      <x:c r="N22" s="31" t="n">
        <x:f>'Compute'!G71+'Compute'!G72-('Compute'!$D$24*(1-'Inputs'!G124)+'Compute'!$D$25*'Inputs'!G124)*12</x:f>
        <x:v>0</x:v>
      </x:c>
      <x:c r="O22" s="31" t="n">
        <x:f>'Compute'!G71+'Compute'!G72-('Compute'!$D$24*(1-'Inputs'!G124)+'Compute'!$D$25*'Inputs'!G124)*12</x:f>
        <x:v>0</x:v>
      </x:c>
      <x:c r="P22" s="31" t="n">
        <x:f>'Compute'!G71+'Compute'!G72-('Compute'!$D$24*(1-'Inputs'!G124)+'Compute'!$D$25*'Inputs'!G124)*12</x:f>
        <x:v>0</x:v>
      </x:c>
      <x:c r="Q22" s="31" t="n">
        <x:f>'Compute'!H71+'Compute'!H72-('Compute'!$D$24*(1-'Inputs'!H124)+'Compute'!$D$25*'Inputs'!H124)*12</x:f>
        <x:v>0</x:v>
      </x:c>
      <x:c r="R22" s="31" t="n">
        <x:f>'Compute'!H71+'Compute'!H72-('Compute'!$D$24*(1-'Inputs'!H124)+'Compute'!$D$25*'Inputs'!H124)*12</x:f>
        <x:v>0</x:v>
      </x:c>
      <x:c r="S22" s="31" t="n">
        <x:f>'Compute'!H71+'Compute'!H72-('Compute'!$D$24*(1-'Inputs'!H124)+'Compute'!$D$25*'Inputs'!H124)*12</x:f>
        <x:v>0</x:v>
      </x:c>
      <x:c r="T22" s="31" t="n">
        <x:f>'Compute'!H71+'Compute'!H72-('Compute'!$D$24*(1-'Inputs'!H124)+'Compute'!$D$25*'Inputs'!H124)*12</x:f>
        <x:v>0</x:v>
      </x:c>
    </x:row>
    <x:row r="23" ht="25" customHeight="1">
      <x:c r="A23" s="2"/>
      <x:c r="B23" s="2"/>
      <x:c r="C23" s="32" t="str">
        <x:v>Active customer ambition gap, year-end memo</x:v>
      </x:c>
      <x:c r="D23" s="52" t="n">
        <x:f>'Sales'!D37</x:f>
        <x:v>0</x:v>
      </x:c>
      <x:c r="E23" s="52" t="n">
        <x:f>'Sales'!E37</x:f>
        <x:v>0</x:v>
      </x:c>
      <x:c r="F23" s="52" t="n">
        <x:f>'Sales'!F37</x:f>
        <x:v>0</x:v>
      </x:c>
      <x:c r="G23" s="52" t="n">
        <x:f>'Sales'!G37</x:f>
        <x:v>0</x:v>
      </x:c>
      <x:c r="H23" s="52" t="n">
        <x:f>'Sales'!H37</x:f>
        <x:v>0</x:v>
      </x:c>
      <x:c r="I23" s="52" t="n">
        <x:f>'Sales'!I37</x:f>
        <x:v>0</x:v>
      </x:c>
      <x:c r="J23" s="52" t="n">
        <x:f>'Sales'!J37</x:f>
        <x:v>0</x:v>
      </x:c>
      <x:c r="K23" s="52" t="n">
        <x:f>'Sales'!K37</x:f>
        <x:v>0</x:v>
      </x:c>
      <x:c r="L23" s="52" t="n">
        <x:f>'Sales'!L37</x:f>
        <x:v>1.4210854715202004e-14</x:v>
      </x:c>
      <x:c r="M23" s="52" t="n">
        <x:f>'Sales'!M37</x:f>
        <x:v>0</x:v>
      </x:c>
      <x:c r="N23" s="52" t="n">
        <x:f>'Sales'!N37</x:f>
        <x:v>0</x:v>
      </x:c>
      <x:c r="O23" s="52" t="n">
        <x:f>'Sales'!O37</x:f>
        <x:v>0</x:v>
      </x:c>
      <x:c r="P23" s="52" t="n">
        <x:f>'Sales'!P37</x:f>
        <x:v>-0.4562499999998977</x:v>
      </x:c>
      <x:c r="Q23" s="52" t="n">
        <x:f>'Sales'!Q37</x:f>
        <x:v>0</x:v>
      </x:c>
      <x:c r="R23" s="52" t="n">
        <x:f>'Sales'!R37</x:f>
        <x:v>0</x:v>
      </x:c>
      <x:c r="S23" s="52" t="n">
        <x:f>'Sales'!S37</x:f>
        <x:v>0</x:v>
      </x:c>
      <x:c r="T23" s="52" t="n">
        <x:f>'Sales'!T37</x:f>
        <x:v>0</x:v>
      </x:c>
    </x:row>
    <x:row r="24" ht="25" customHeight="1">
      <x:c r="A24" s="2"/>
      <x:c r="B24" s="2"/>
      <x:c r="C24" s="32"/>
      <x:c r="D24" s="3"/>
      <x:c r="E24" s="3"/>
      <x:c r="F24" s="3"/>
      <x:c r="G24" s="3"/>
      <x:c r="H24" s="3"/>
      <x:c r="I24" s="3"/>
      <x:c r="J24" s="3"/>
      <x:c r="K24" s="3"/>
      <x:c r="L24" s="3"/>
      <x:c r="M24" s="3"/>
      <x:c r="N24" s="3"/>
      <x:c r="O24" s="3"/>
      <x:c r="P24" s="3"/>
      <x:c r="Q24" s="3"/>
      <x:c r="R24" s="3"/>
      <x:c r="S24" s="3"/>
      <x:c r="T24" s="3"/>
    </x:row>
    <x:row r="25" ht="25" customHeight="1">
      <x:c r="A25" s="2"/>
      <x:c r="B25" s="2"/>
      <x:c r="C25" s="32"/>
      <x:c r="D25" s="3"/>
      <x:c r="E25" s="3"/>
      <x:c r="F25" s="3"/>
      <x:c r="G25" s="3"/>
      <x:c r="H25" s="3"/>
      <x:c r="I25" s="3"/>
      <x:c r="J25" s="3"/>
      <x:c r="K25" s="3"/>
      <x:c r="L25" s="3"/>
      <x:c r="M25" s="3"/>
      <x:c r="N25" s="3"/>
      <x:c r="O25" s="3"/>
      <x:c r="P25" s="3"/>
      <x:c r="Q25" s="3"/>
      <x:c r="R25" s="3"/>
      <x:c r="S25" s="3"/>
      <x:c r="T25" s="3"/>
    </x:row>
    <x:row r="26" ht="42" customHeight="1">
      <x:c r="A26" s="2"/>
      <x:c r="B26" s="2"/>
      <x:c r="C26" s="36" t="str">
        <x:v>Rows 7–22 should be zero. Row 23 is an execution gap, not an accounting error. Negative cash and delivery backlogs remain visible in their own schedules.</x:v>
      </x:c>
      <x:c r="D26" s="18"/>
      <x:c r="E26" s="18"/>
      <x:c r="F26" s="18"/>
      <x:c r="G26" s="18"/>
      <x:c r="H26" s="18"/>
      <x:c r="I26" s="18"/>
      <x:c r="J26" s="18"/>
      <x:c r="K26" s="18"/>
      <x:c r="L26" s="18"/>
      <x:c r="M26" s="3"/>
      <x:c r="N26" s="3"/>
      <x:c r="O26" s="3"/>
      <x:c r="P26" s="3"/>
      <x:c r="Q26" s="3"/>
      <x:c r="R26" s="3"/>
      <x:c r="S26" s="3"/>
      <x:c r="T26" s="3"/>
    </x:row>
    <x:row r="27" ht="25" customHeight="1">
      <x:c r="A27" s="2"/>
      <x:c r="B27" s="2"/>
      <x:c r="C27" s="32"/>
      <x:c r="D27" s="3"/>
      <x:c r="E27" s="3"/>
      <x:c r="F27" s="3"/>
      <x:c r="G27" s="3"/>
      <x:c r="H27" s="3"/>
      <x:c r="I27" s="3"/>
      <x:c r="J27" s="3"/>
      <x:c r="K27" s="3"/>
      <x:c r="L27" s="3"/>
      <x:c r="M27" s="3"/>
      <x:c r="N27" s="3"/>
      <x:c r="O27" s="3"/>
      <x:c r="P27" s="3"/>
      <x:c r="Q27" s="3"/>
      <x:c r="R27" s="3"/>
      <x:c r="S27" s="3"/>
      <x:c r="T27" s="3"/>
    </x:row>
    <x:row r="28" ht="25" customHeight="1">
      <x:c r="A28" s="2"/>
      <x:c r="B28" s="2"/>
      <x:c r="C28" s="32"/>
      <x:c r="D28" s="3"/>
      <x:c r="E28" s="3"/>
      <x:c r="F28" s="3"/>
      <x:c r="G28" s="3"/>
      <x:c r="H28" s="3"/>
      <x:c r="I28" s="3"/>
      <x:c r="J28" s="3"/>
      <x:c r="K28" s="3"/>
      <x:c r="L28" s="3"/>
      <x:c r="M28" s="3"/>
      <x:c r="N28" s="3"/>
      <x:c r="O28" s="3"/>
      <x:c r="P28" s="3"/>
      <x:c r="Q28" s="3"/>
      <x:c r="R28" s="3"/>
      <x:c r="S28" s="3"/>
      <x:c r="T28" s="3"/>
    </x:row>
    <x:row r="29" ht="27" customHeight="1">
      <x:c r="A29" s="2"/>
      <x:c r="B29" s="2"/>
      <x:c r="C29" s="61" t="str">
        <x:v>Mapping and launch controls</x:v>
      </x:c>
      <x:c r="D29" s="15"/>
      <x:c r="E29" s="15"/>
      <x:c r="F29" s="15"/>
      <x:c r="G29" s="15"/>
      <x:c r="H29" s="15"/>
      <x:c r="I29" s="15"/>
      <x:c r="J29" s="15"/>
      <x:c r="K29" s="15"/>
      <x:c r="L29" s="15"/>
      <x:c r="M29" s="15"/>
      <x:c r="N29" s="15"/>
      <x:c r="O29" s="15"/>
      <x:c r="P29" s="15"/>
      <x:c r="Q29" s="15"/>
      <x:c r="R29" s="15"/>
      <x:c r="S29" s="15"/>
      <x:c r="T29" s="15"/>
    </x:row>
    <x:row r="30" ht="25" customHeight="1">
      <x:c r="A30" s="2"/>
      <x:c r="B30" s="2"/>
      <x:c r="C30" s="32" t="str">
        <x:v>Mapping price-tier contracts reconcile</x:v>
      </x:c>
      <x:c r="D30" s="59" t="n">
        <x:f>SUM('Sales'!D54:D56)-'Sales'!D18</x:f>
        <x:v>0</x:v>
      </x:c>
      <x:c r="E30" s="59" t="n">
        <x:f>SUM('Sales'!E54:E56)-'Sales'!E18</x:f>
        <x:v>0</x:v>
      </x:c>
      <x:c r="F30" s="59" t="n">
        <x:f>SUM('Sales'!F54:F56)-'Sales'!F18</x:f>
        <x:v>0</x:v>
      </x:c>
      <x:c r="G30" s="59" t="n">
        <x:f>SUM('Sales'!G54:G56)-'Sales'!G18</x:f>
        <x:v>0</x:v>
      </x:c>
      <x:c r="H30" s="59" t="n">
        <x:f>SUM('Sales'!H54:H56)-'Sales'!H18</x:f>
        <x:v>0</x:v>
      </x:c>
      <x:c r="I30" s="59" t="n">
        <x:f>SUM('Sales'!I54:I56)-'Sales'!I18</x:f>
        <x:v>0</x:v>
      </x:c>
      <x:c r="J30" s="59" t="n">
        <x:f>SUM('Sales'!J54:J56)-'Sales'!J18</x:f>
        <x:v>0</x:v>
      </x:c>
      <x:c r="K30" s="59" t="n">
        <x:f>SUM('Sales'!K54:K56)-'Sales'!K18</x:f>
        <x:v>0</x:v>
      </x:c>
      <x:c r="L30" s="59" t="n">
        <x:f>SUM('Sales'!L54:L56)-'Sales'!L18</x:f>
        <x:v>0</x:v>
      </x:c>
      <x:c r="M30" s="59" t="n">
        <x:f>SUM('Sales'!M54:M56)-'Sales'!M18</x:f>
        <x:v>0</x:v>
      </x:c>
      <x:c r="N30" s="59" t="n">
        <x:f>SUM('Sales'!N54:N56)-'Sales'!N18</x:f>
        <x:v>0</x:v>
      </x:c>
      <x:c r="O30" s="59" t="n">
        <x:f>SUM('Sales'!O54:O56)-'Sales'!O18</x:f>
        <x:v>0</x:v>
      </x:c>
      <x:c r="P30" s="59" t="n">
        <x:f>SUM('Sales'!P54:P56)-'Sales'!P18</x:f>
        <x:v>0</x:v>
      </x:c>
      <x:c r="Q30" s="59" t="n">
        <x:f>SUM('Sales'!Q54:Q56)-'Sales'!Q18</x:f>
        <x:v>0</x:v>
      </x:c>
      <x:c r="R30" s="59" t="n">
        <x:f>SUM('Sales'!R54:R56)-'Sales'!R18</x:f>
        <x:v>0</x:v>
      </x:c>
      <x:c r="S30" s="59" t="n">
        <x:f>SUM('Sales'!S54:S56)-'Sales'!S18</x:f>
        <x:v>0</x:v>
      </x:c>
      <x:c r="T30" s="59" t="n">
        <x:f>SUM('Sales'!T54:T56)-'Sales'!T18</x:f>
        <x:v>0</x:v>
      </x:c>
    </x:row>
    <x:row r="31" ht="25" customHeight="1">
      <x:c r="A31" s="2"/>
      <x:c r="B31" s="2"/>
      <x:c r="C31" s="32" t="str">
        <x:v>Design partner slots exceeded</x:v>
      </x:c>
      <x:c r="D31" s="59" t="n">
        <x:f>MAX(0,SUM('Sales'!$D$54:D54)-'Pricing'!$D$63)</x:f>
        <x:v>0</x:v>
      </x:c>
      <x:c r="E31" s="59" t="n">
        <x:f>MAX(0,SUM('Sales'!$D$54:E54)-'Pricing'!$D$63)</x:f>
        <x:v>0</x:v>
      </x:c>
      <x:c r="F31" s="59" t="n">
        <x:f>MAX(0,SUM('Sales'!$D$54:F54)-'Pricing'!$D$63)</x:f>
        <x:v>0</x:v>
      </x:c>
      <x:c r="G31" s="59" t="n">
        <x:f>MAX(0,SUM('Sales'!$D$54:G54)-'Pricing'!$D$63)</x:f>
        <x:v>0</x:v>
      </x:c>
      <x:c r="H31" s="59" t="n">
        <x:f>MAX(0,SUM('Sales'!$D$54:H54)-'Pricing'!$D$63)</x:f>
        <x:v>0</x:v>
      </x:c>
      <x:c r="I31" s="59" t="n">
        <x:f>MAX(0,SUM('Sales'!$D$54:I54)-'Pricing'!$D$63)</x:f>
        <x:v>0</x:v>
      </x:c>
      <x:c r="J31" s="59" t="n">
        <x:f>MAX(0,SUM('Sales'!$D$54:J54)-'Pricing'!$D$63)</x:f>
        <x:v>0</x:v>
      </x:c>
      <x:c r="K31" s="59" t="n">
        <x:f>MAX(0,SUM('Sales'!$D$54:K54)-'Pricing'!$D$63)</x:f>
        <x:v>0</x:v>
      </x:c>
      <x:c r="L31" s="59" t="n">
        <x:f>MAX(0,SUM('Sales'!$D$54:L54)-'Pricing'!$D$63)</x:f>
        <x:v>0</x:v>
      </x:c>
      <x:c r="M31" s="59" t="n">
        <x:f>MAX(0,SUM('Sales'!$D$54:M54)-'Pricing'!$D$63)</x:f>
        <x:v>0</x:v>
      </x:c>
      <x:c r="N31" s="59" t="n">
        <x:f>MAX(0,SUM('Sales'!$D$54:N54)-'Pricing'!$D$63)</x:f>
        <x:v>0</x:v>
      </x:c>
      <x:c r="O31" s="59" t="n">
        <x:f>MAX(0,SUM('Sales'!$D$54:O54)-'Pricing'!$D$63)</x:f>
        <x:v>0</x:v>
      </x:c>
      <x:c r="P31" s="59" t="n">
        <x:f>MAX(0,SUM('Sales'!$D$54:P54)-'Pricing'!$D$63)</x:f>
        <x:v>0</x:v>
      </x:c>
      <x:c r="Q31" s="59" t="n">
        <x:f>MAX(0,SUM('Sales'!$D$54:Q54)-'Pricing'!$D$63)</x:f>
        <x:v>0</x:v>
      </x:c>
      <x:c r="R31" s="59" t="n">
        <x:f>MAX(0,SUM('Sales'!$D$54:R54)-'Pricing'!$D$63)</x:f>
        <x:v>0</x:v>
      </x:c>
      <x:c r="S31" s="59" t="n">
        <x:f>MAX(0,SUM('Sales'!$D$54:S54)-'Pricing'!$D$63)</x:f>
        <x:v>0</x:v>
      </x:c>
      <x:c r="T31" s="59" t="n">
        <x:f>MAX(0,SUM('Sales'!$D$54:T54)-'Pricing'!$D$63)</x:f>
        <x:v>0</x:v>
      </x:c>
    </x:row>
    <x:row r="32" ht="25" customHeight="1">
      <x:c r="A32" s="2"/>
      <x:c r="B32" s="2"/>
      <x:c r="C32" s="32" t="str">
        <x:v>Introduction slots exceeded</x:v>
      </x:c>
      <x:c r="D32" s="59" t="n">
        <x:f>MAX(0,SUM('Sales'!$D$55:D55)-'Pricing'!$D$64)</x:f>
        <x:v>0</x:v>
      </x:c>
      <x:c r="E32" s="59" t="n">
        <x:f>MAX(0,SUM('Sales'!$D$55:E55)-'Pricing'!$D$64)</x:f>
        <x:v>0</x:v>
      </x:c>
      <x:c r="F32" s="59" t="n">
        <x:f>MAX(0,SUM('Sales'!$D$55:F55)-'Pricing'!$D$64)</x:f>
        <x:v>0</x:v>
      </x:c>
      <x:c r="G32" s="59" t="n">
        <x:f>MAX(0,SUM('Sales'!$D$55:G55)-'Pricing'!$D$64)</x:f>
        <x:v>0</x:v>
      </x:c>
      <x:c r="H32" s="59" t="n">
        <x:f>MAX(0,SUM('Sales'!$D$55:H55)-'Pricing'!$D$64)</x:f>
        <x:v>0</x:v>
      </x:c>
      <x:c r="I32" s="59" t="n">
        <x:f>MAX(0,SUM('Sales'!$D$55:I55)-'Pricing'!$D$64)</x:f>
        <x:v>0</x:v>
      </x:c>
      <x:c r="J32" s="59" t="n">
        <x:f>MAX(0,SUM('Sales'!$D$55:J55)-'Pricing'!$D$64)</x:f>
        <x:v>0</x:v>
      </x:c>
      <x:c r="K32" s="59" t="n">
        <x:f>MAX(0,SUM('Sales'!$D$55:K55)-'Pricing'!$D$64)</x:f>
        <x:v>0</x:v>
      </x:c>
      <x:c r="L32" s="59" t="n">
        <x:f>MAX(0,SUM('Sales'!$D$55:L55)-'Pricing'!$D$64)</x:f>
        <x:v>0</x:v>
      </x:c>
      <x:c r="M32" s="59" t="n">
        <x:f>MAX(0,SUM('Sales'!$D$55:M55)-'Pricing'!$D$64)</x:f>
        <x:v>0</x:v>
      </x:c>
      <x:c r="N32" s="59" t="n">
        <x:f>MAX(0,SUM('Sales'!$D$55:N55)-'Pricing'!$D$64)</x:f>
        <x:v>0</x:v>
      </x:c>
      <x:c r="O32" s="59" t="n">
        <x:f>MAX(0,SUM('Sales'!$D$55:O55)-'Pricing'!$D$64)</x:f>
        <x:v>0</x:v>
      </x:c>
      <x:c r="P32" s="59" t="n">
        <x:f>MAX(0,SUM('Sales'!$D$55:P55)-'Pricing'!$D$64)</x:f>
        <x:v>0</x:v>
      </x:c>
      <x:c r="Q32" s="59" t="n">
        <x:f>MAX(0,SUM('Sales'!$D$55:Q55)-'Pricing'!$D$64)</x:f>
        <x:v>0</x:v>
      </x:c>
      <x:c r="R32" s="59" t="n">
        <x:f>MAX(0,SUM('Sales'!$D$55:R55)-'Pricing'!$D$64)</x:f>
        <x:v>0</x:v>
      </x:c>
      <x:c r="S32" s="59" t="n">
        <x:f>MAX(0,SUM('Sales'!$D$55:S55)-'Pricing'!$D$64)</x:f>
        <x:v>0</x:v>
      </x:c>
      <x:c r="T32" s="59" t="n">
        <x:f>MAX(0,SUM('Sales'!$D$55:T55)-'Pricing'!$D$64)</x:f>
        <x:v>0</x:v>
      </x:c>
    </x:row>
    <x:row r="33" ht="25" customHeight="1">
      <x:c r="A33" s="2"/>
      <x:c r="B33" s="2"/>
      <x:c r="C33" s="32" t="str">
        <x:v>Mapping revenue outside ARR</x:v>
      </x:c>
      <x:c r="D33" s="59" t="n">
        <x:f>'Revenue'!D174-'Revenue'!D16/4-'Revenue'!D171</x:f>
        <x:v>0</x:v>
      </x:c>
      <x:c r="E33" s="59" t="n">
        <x:f>'Revenue'!E174-'Revenue'!E16/4-'Revenue'!E171</x:f>
        <x:v>0</x:v>
      </x:c>
      <x:c r="F33" s="59" t="n">
        <x:f>'Revenue'!F174-'Revenue'!F16/4-'Revenue'!F171</x:f>
        <x:v>0</x:v>
      </x:c>
      <x:c r="G33" s="59" t="n">
        <x:f>'Revenue'!G174-'Revenue'!G16/4-'Revenue'!G171</x:f>
        <x:v>0</x:v>
      </x:c>
      <x:c r="H33" s="59" t="n">
        <x:f>'Revenue'!H174-'Revenue'!H16/4-'Revenue'!H171</x:f>
        <x:v>0</x:v>
      </x:c>
      <x:c r="I33" s="59" t="n">
        <x:f>'Revenue'!I174-'Revenue'!I16/4-'Revenue'!I171</x:f>
        <x:v>0</x:v>
      </x:c>
      <x:c r="J33" s="59" t="n">
        <x:f>'Revenue'!J174-'Revenue'!J16/4-'Revenue'!J171</x:f>
        <x:v>0</x:v>
      </x:c>
      <x:c r="K33" s="59" t="n">
        <x:f>'Revenue'!K174-'Revenue'!K16/4-'Revenue'!K171</x:f>
        <x:v>0</x:v>
      </x:c>
      <x:c r="L33" s="59" t="n">
        <x:f>'Revenue'!L174-'Revenue'!L16/4-'Revenue'!L171</x:f>
        <x:v>0</x:v>
      </x:c>
      <x:c r="M33" s="59" t="n">
        <x:f>'Revenue'!M174-'Revenue'!M16/4-'Revenue'!M171</x:f>
        <x:v>4.656612873077393e-10</x:v>
      </x:c>
      <x:c r="N33" s="59" t="n">
        <x:f>'Revenue'!N174-'Revenue'!N16/4-'Revenue'!N171</x:f>
        <x:v>0</x:v>
      </x:c>
      <x:c r="O33" s="59" t="n">
        <x:f>'Revenue'!O174-'Revenue'!O16/4-'Revenue'!O171</x:f>
        <x:v>0</x:v>
      </x:c>
      <x:c r="P33" s="59" t="n">
        <x:f>'Revenue'!P174-'Revenue'!P16/4-'Revenue'!P171</x:f>
        <x:v>0</x:v>
      </x:c>
      <x:c r="Q33" s="59" t="n">
        <x:f>'Revenue'!Q174-'Revenue'!Q16/4-'Revenue'!Q171</x:f>
        <x:v>1.862645149230957e-9</x:v>
      </x:c>
      <x:c r="R33" s="59" t="n">
        <x:f>'Revenue'!R174-'Revenue'!R16/4-'Revenue'!R171</x:f>
        <x:v>3.725290298461914e-9</x:v>
      </x:c>
      <x:c r="S33" s="59" t="n">
        <x:f>'Revenue'!S174-'Revenue'!S16/4-'Revenue'!S171</x:f>
        <x:v>3.725290298461914e-9</x:v>
      </x:c>
      <x:c r="T33" s="59" t="n">
        <x:f>'Revenue'!T174-'Revenue'!T16/4-'Revenue'!T171</x:f>
        <x:v>-3.725290298461914e-9</x:v>
      </x:c>
    </x:row>
    <x:row r="34" ht="25" customHeight="1">
      <x:c r="A34" s="2"/>
      <x:c r="B34" s="2"/>
      <x:c r="C34" s="32" t="str">
        <x:v>Negative eligible mapping price units</x:v>
      </x:c>
      <x:c r="D34" s="59" t="n">
        <x:f>MIN(0,'Sales'!D66)</x:f>
        <x:v>0</x:v>
      </x:c>
      <x:c r="E34" s="59" t="n">
        <x:f>MIN(0,'Sales'!E66)</x:f>
        <x:v>0</x:v>
      </x:c>
      <x:c r="F34" s="59" t="n">
        <x:f>MIN(0,'Sales'!F66)</x:f>
        <x:v>0</x:v>
      </x:c>
      <x:c r="G34" s="59" t="n">
        <x:f>MIN(0,'Sales'!G66)</x:f>
        <x:v>0</x:v>
      </x:c>
      <x:c r="H34" s="59" t="n">
        <x:f>MIN(0,'Sales'!H66)</x:f>
        <x:v>0</x:v>
      </x:c>
      <x:c r="I34" s="59" t="n">
        <x:f>MIN(0,'Sales'!I66)</x:f>
        <x:v>0</x:v>
      </x:c>
      <x:c r="J34" s="59" t="n">
        <x:f>MIN(0,'Sales'!J66)</x:f>
        <x:v>0</x:v>
      </x:c>
      <x:c r="K34" s="59" t="n">
        <x:f>MIN(0,'Sales'!K66)</x:f>
        <x:v>0</x:v>
      </x:c>
      <x:c r="L34" s="59" t="n">
        <x:f>MIN(0,'Sales'!L66)</x:f>
        <x:v>0</x:v>
      </x:c>
      <x:c r="M34" s="59" t="n">
        <x:f>MIN(0,'Sales'!M66)</x:f>
        <x:v>0</x:v>
      </x:c>
      <x:c r="N34" s="59" t="n">
        <x:f>MIN(0,'Sales'!N66)</x:f>
        <x:v>0</x:v>
      </x:c>
      <x:c r="O34" s="59" t="n">
        <x:f>MIN(0,'Sales'!O66)</x:f>
        <x:v>0</x:v>
      </x:c>
      <x:c r="P34" s="59" t="n">
        <x:f>MIN(0,'Sales'!P66)</x:f>
        <x:v>0</x:v>
      </x:c>
      <x:c r="Q34" s="59" t="n">
        <x:f>MIN(0,'Sales'!Q66)</x:f>
        <x:v>0</x:v>
      </x:c>
      <x:c r="R34" s="59" t="n">
        <x:f>MIN(0,'Sales'!R66)</x:f>
        <x:v>0</x:v>
      </x:c>
      <x:c r="S34" s="59" t="n">
        <x:f>MIN(0,'Sales'!S66)</x:f>
        <x:v>0</x:v>
      </x:c>
      <x:c r="T34" s="59" t="n">
        <x:f>MIN(0,'Sales'!T66)</x:f>
        <x:v>0</x:v>
      </x:c>
    </x:row>
    <x:row r="35" ht="25" customHeight="1">
      <x:c r="A35" s="2"/>
      <x:c r="B35" s="2"/>
      <x:c r="C35" s="32" t="str">
        <x:v>Launch contracts retained once</x:v>
      </x:c>
      <x:c r="D35" s="59" t="n">
        <x:f>'Sales'!$D$18-'Sales'!$D$25-'Sales'!$D$33</x:f>
        <x:v>0</x:v>
      </x:c>
      <x:c r="E35" s="59" t="n">
        <x:f>'Sales'!$D$18-'Sales'!$D$25-'Sales'!$D$33</x:f>
        <x:v>0</x:v>
      </x:c>
      <x:c r="F35" s="59" t="n">
        <x:f>'Sales'!$D$18-'Sales'!$D$25-'Sales'!$D$33</x:f>
        <x:v>0</x:v>
      </x:c>
      <x:c r="G35" s="59" t="n">
        <x:f>'Sales'!$D$18-'Sales'!$D$25-'Sales'!$D$33</x:f>
        <x:v>0</x:v>
      </x:c>
      <x:c r="H35" s="59" t="n">
        <x:f>'Sales'!$D$18-'Sales'!$D$25-'Sales'!$D$33</x:f>
        <x:v>0</x:v>
      </x:c>
      <x:c r="I35" s="59" t="n">
        <x:f>'Sales'!$D$18-'Sales'!$D$25-'Sales'!$D$33</x:f>
        <x:v>0</x:v>
      </x:c>
      <x:c r="J35" s="59" t="n">
        <x:f>'Sales'!$D$18-'Sales'!$D$25-'Sales'!$D$33</x:f>
        <x:v>0</x:v>
      </x:c>
      <x:c r="K35" s="59" t="n">
        <x:f>'Sales'!$D$18-'Sales'!$D$25-'Sales'!$D$33</x:f>
        <x:v>0</x:v>
      </x:c>
      <x:c r="L35" s="59" t="n">
        <x:f>'Sales'!$D$18-'Sales'!$D$25-'Sales'!$D$33</x:f>
        <x:v>0</x:v>
      </x:c>
      <x:c r="M35" s="59" t="n">
        <x:f>'Sales'!$D$18-'Sales'!$D$25-'Sales'!$D$33</x:f>
        <x:v>0</x:v>
      </x:c>
      <x:c r="N35" s="59" t="n">
        <x:f>'Sales'!$D$18-'Sales'!$D$25-'Sales'!$D$33</x:f>
        <x:v>0</x:v>
      </x:c>
      <x:c r="O35" s="59" t="n">
        <x:f>'Sales'!$D$18-'Sales'!$D$25-'Sales'!$D$33</x:f>
        <x:v>0</x:v>
      </x:c>
      <x:c r="P35" s="59" t="n">
        <x:f>'Sales'!$D$18-'Sales'!$D$25-'Sales'!$D$33</x:f>
        <x:v>0</x:v>
      </x:c>
      <x:c r="Q35" s="59" t="n">
        <x:f>'Sales'!$D$18-'Sales'!$D$25-'Sales'!$D$33</x:f>
        <x:v>0</x:v>
      </x:c>
      <x:c r="R35" s="59" t="n">
        <x:f>'Sales'!$D$18-'Sales'!$D$25-'Sales'!$D$33</x:f>
        <x:v>0</x:v>
      </x:c>
      <x:c r="S35" s="59" t="n">
        <x:f>'Sales'!$D$18-'Sales'!$D$25-'Sales'!$D$33</x:f>
        <x:v>0</x:v>
      </x:c>
      <x:c r="T35" s="59" t="n">
        <x:f>'Sales'!$D$18-'Sales'!$D$25-'Sales'!$D$33</x:f>
        <x:v>0</x:v>
      </x:c>
    </x:row>
    <x:row r="36" ht="25" customHeight="1">
      <x:c r="A36" s="2"/>
      <x:c r="B36" s="2"/>
      <x:c r="C36" s="32"/>
      <x:c r="D36" s="3"/>
      <x:c r="E36" s="3"/>
      <x:c r="F36" s="3"/>
      <x:c r="G36" s="3"/>
      <x:c r="H36" s="3"/>
      <x:c r="I36" s="3"/>
      <x:c r="J36" s="3"/>
      <x:c r="K36" s="3"/>
      <x:c r="L36" s="3"/>
      <x:c r="M36" s="3"/>
      <x:c r="N36" s="3"/>
      <x:c r="O36" s="3"/>
      <x:c r="P36" s="3"/>
      <x:c r="Q36" s="3"/>
      <x:c r="R36" s="3"/>
      <x:c r="S36" s="3"/>
      <x:c r="T36" s="3"/>
    </x:row>
    <x:row r="37" ht="25" customHeight="1">
      <x:c r="A37" s="2"/>
      <x:c r="B37" s="2"/>
      <x:c r="C37" s="32"/>
      <x:c r="D37" s="3"/>
      <x:c r="E37" s="3"/>
      <x:c r="F37" s="3"/>
      <x:c r="G37" s="3"/>
      <x:c r="H37" s="3"/>
      <x:c r="I37" s="3"/>
      <x:c r="J37" s="3"/>
      <x:c r="K37" s="3"/>
      <x:c r="L37" s="3"/>
      <x:c r="M37" s="3"/>
      <x:c r="N37" s="3"/>
      <x:c r="O37" s="3"/>
      <x:c r="P37" s="3"/>
      <x:c r="Q37" s="3"/>
      <x:c r="R37" s="3"/>
      <x:c r="S37" s="3"/>
      <x:c r="T37" s="3"/>
    </x:row>
    <x:row r="38" ht="25" customHeight="1">
      <x:c r="A38" s="2"/>
      <x:c r="B38" s="2"/>
      <x:c r="C38" s="32"/>
      <x:c r="D38" s="3"/>
      <x:c r="E38" s="3"/>
      <x:c r="F38" s="3"/>
      <x:c r="G38" s="3"/>
      <x:c r="H38" s="3"/>
      <x:c r="I38" s="3"/>
      <x:c r="J38" s="3"/>
      <x:c r="K38" s="3"/>
      <x:c r="L38" s="3"/>
      <x:c r="M38" s="3"/>
      <x:c r="N38" s="3"/>
      <x:c r="O38" s="3"/>
      <x:c r="P38" s="3"/>
      <x:c r="Q38" s="3"/>
      <x:c r="R38" s="3"/>
      <x:c r="S38" s="3"/>
      <x:c r="T38" s="3"/>
    </x:row>
    <x:row r="39" ht="25" customHeight="1">
      <x:c r="A39" s="2"/>
      <x:c r="B39" s="2"/>
      <x:c r="C39" s="32"/>
      <x:c r="D39" s="3"/>
      <x:c r="E39" s="3"/>
      <x:c r="F39" s="3"/>
      <x:c r="G39" s="3"/>
      <x:c r="H39" s="3"/>
      <x:c r="I39" s="3"/>
      <x:c r="J39" s="3"/>
      <x:c r="K39" s="3"/>
      <x:c r="L39" s="3"/>
      <x:c r="M39" s="3"/>
      <x:c r="N39" s="3"/>
      <x:c r="O39" s="3"/>
      <x:c r="P39" s="3"/>
      <x:c r="Q39" s="3"/>
      <x:c r="R39" s="3"/>
      <x:c r="S39" s="3"/>
      <x:c r="T39" s="3"/>
    </x:row>
    <x:row r="40" ht="25" customHeight="1">
      <x:c r="A40" s="2"/>
      <x:c r="B40" s="2"/>
      <x:c r="C40" s="32"/>
      <x:c r="D40" s="3"/>
      <x:c r="E40" s="3"/>
      <x:c r="F40" s="3"/>
      <x:c r="G40" s="3"/>
      <x:c r="H40" s="3"/>
      <x:c r="I40" s="3"/>
      <x:c r="J40" s="3"/>
      <x:c r="K40" s="3"/>
      <x:c r="L40" s="3"/>
      <x:c r="M40" s="3"/>
      <x:c r="N40" s="3"/>
      <x:c r="O40" s="3"/>
      <x:c r="P40" s="3"/>
      <x:c r="Q40" s="3"/>
      <x:c r="R40" s="3"/>
      <x:c r="S40" s="3"/>
      <x:c r="T40" s="3"/>
    </x:row>
    <x:row r="41" ht="25" customHeight="1">
      <x:c r="A41" s="2"/>
      <x:c r="B41" s="2"/>
      <x:c r="C41" s="32"/>
      <x:c r="D41" s="3"/>
      <x:c r="E41" s="3"/>
      <x:c r="F41" s="3"/>
      <x:c r="G41" s="3"/>
      <x:c r="H41" s="3"/>
      <x:c r="I41" s="3"/>
      <x:c r="J41" s="3"/>
      <x:c r="K41" s="3"/>
      <x:c r="L41" s="3"/>
      <x:c r="M41" s="3"/>
      <x:c r="N41" s="3"/>
      <x:c r="O41" s="3"/>
      <x:c r="P41" s="3"/>
      <x:c r="Q41" s="3"/>
      <x:c r="R41" s="3"/>
      <x:c r="S41" s="3"/>
      <x:c r="T41" s="3"/>
    </x:row>
    <x:row r="42" ht="25" customHeight="1">
      <x:c r="A42" s="2"/>
      <x:c r="B42" s="2"/>
      <x:c r="C42" s="32"/>
      <x:c r="D42" s="3"/>
      <x:c r="E42" s="3"/>
      <x:c r="F42" s="3"/>
      <x:c r="G42" s="3"/>
      <x:c r="H42" s="3"/>
      <x:c r="I42" s="3"/>
      <x:c r="J42" s="3"/>
      <x:c r="K42" s="3"/>
      <x:c r="L42" s="3"/>
      <x:c r="M42" s="3"/>
      <x:c r="N42" s="3"/>
      <x:c r="O42" s="3"/>
      <x:c r="P42" s="3"/>
      <x:c r="Q42" s="3"/>
      <x:c r="R42" s="3"/>
      <x:c r="S42" s="3"/>
      <x:c r="T42" s="3"/>
    </x:row>
    <x:row r="43" ht="25" customHeight="1">
      <x:c r="A43" s="2"/>
      <x:c r="B43" s="2"/>
      <x:c r="C43" s="32"/>
      <x:c r="D43" s="3"/>
      <x:c r="E43" s="3"/>
      <x:c r="F43" s="3"/>
      <x:c r="G43" s="3"/>
      <x:c r="H43" s="3"/>
      <x:c r="I43" s="3"/>
      <x:c r="J43" s="3"/>
      <x:c r="K43" s="3"/>
      <x:c r="L43" s="3"/>
      <x:c r="M43" s="3"/>
      <x:c r="N43" s="3"/>
      <x:c r="O43" s="3"/>
      <x:c r="P43" s="3"/>
      <x:c r="Q43" s="3"/>
      <x:c r="R43" s="3"/>
      <x:c r="S43" s="3"/>
      <x:c r="T43" s="3"/>
    </x:row>
    <x:row r="44" ht="25" customHeight="1">
      <x:c r="A44" s="2"/>
      <x:c r="B44" s="2"/>
      <x:c r="C44" s="32"/>
      <x:c r="D44" s="3"/>
      <x:c r="E44" s="3"/>
      <x:c r="F44" s="3"/>
      <x:c r="G44" s="3"/>
      <x:c r="H44" s="3"/>
      <x:c r="I44" s="3"/>
      <x:c r="J44" s="3"/>
      <x:c r="K44" s="3"/>
      <x:c r="L44" s="3"/>
      <x:c r="M44" s="3"/>
      <x:c r="N44" s="3"/>
      <x:c r="O44" s="3"/>
      <x:c r="P44" s="3"/>
      <x:c r="Q44" s="3"/>
      <x:c r="R44" s="3"/>
      <x:c r="S44" s="3"/>
      <x:c r="T44" s="3"/>
    </x:row>
    <x:row r="45" ht="25" customHeight="1">
      <x:c r="A45" s="2"/>
      <x:c r="B45" s="2"/>
      <x:c r="C45" s="32"/>
      <x:c r="D45" s="3"/>
      <x:c r="E45" s="3"/>
      <x:c r="F45" s="3"/>
      <x:c r="G45" s="3"/>
      <x:c r="H45" s="3"/>
      <x:c r="I45" s="3"/>
      <x:c r="J45" s="3"/>
      <x:c r="K45" s="3"/>
      <x:c r="L45" s="3"/>
      <x:c r="M45" s="3"/>
      <x:c r="N45" s="3"/>
      <x:c r="O45" s="3"/>
      <x:c r="P45" s="3"/>
      <x:c r="Q45" s="3"/>
      <x:c r="R45" s="3"/>
      <x:c r="S45" s="3"/>
      <x:c r="T45" s="3"/>
    </x:row>
    <x:row r="46" ht="25" customHeight="1">
      <x:c r="A46" s="2"/>
      <x:c r="B46" s="2"/>
      <x:c r="C46" s="32"/>
      <x:c r="D46" s="3"/>
      <x:c r="E46" s="3"/>
      <x:c r="F46" s="3"/>
      <x:c r="G46" s="3"/>
      <x:c r="H46" s="3"/>
      <x:c r="I46" s="3"/>
      <x:c r="J46" s="3"/>
      <x:c r="K46" s="3"/>
      <x:c r="L46" s="3"/>
      <x:c r="M46" s="3"/>
      <x:c r="N46" s="3"/>
      <x:c r="O46" s="3"/>
      <x:c r="P46" s="3"/>
      <x:c r="Q46" s="3"/>
      <x:c r="R46" s="3"/>
      <x:c r="S46" s="3"/>
      <x:c r="T46" s="3"/>
    </x:row>
    <x:row r="47" ht="25" customHeight="1">
      <x:c r="A47" s="2"/>
      <x:c r="B47" s="2"/>
      <x:c r="C47" s="32"/>
      <x:c r="D47" s="3"/>
      <x:c r="E47" s="3"/>
      <x:c r="F47" s="3"/>
      <x:c r="G47" s="3"/>
      <x:c r="H47" s="3"/>
      <x:c r="I47" s="3"/>
      <x:c r="J47" s="3"/>
      <x:c r="K47" s="3"/>
      <x:c r="L47" s="3"/>
      <x:c r="M47" s="3"/>
      <x:c r="N47" s="3"/>
      <x:c r="O47" s="3"/>
      <x:c r="P47" s="3"/>
      <x:c r="Q47" s="3"/>
      <x:c r="R47" s="3"/>
      <x:c r="S47" s="3"/>
      <x:c r="T47" s="3"/>
    </x:row>
    <x:row r="48" ht="25" customHeight="1">
      <x:c r="A48" s="2"/>
      <x:c r="B48" s="2"/>
      <x:c r="C48" s="32"/>
      <x:c r="D48" s="3"/>
      <x:c r="E48" s="3"/>
      <x:c r="F48" s="3"/>
      <x:c r="G48" s="3"/>
      <x:c r="H48" s="3"/>
      <x:c r="I48" s="3"/>
      <x:c r="J48" s="3"/>
      <x:c r="K48" s="3"/>
      <x:c r="L48" s="3"/>
      <x:c r="M48" s="3"/>
      <x:c r="N48" s="3"/>
      <x:c r="O48" s="3"/>
      <x:c r="P48" s="3"/>
      <x:c r="Q48" s="3"/>
      <x:c r="R48" s="3"/>
      <x:c r="S48" s="3"/>
      <x:c r="T48" s="3"/>
    </x:row>
    <x:row r="49" ht="25" customHeight="1">
      <x:c r="A49" s="2"/>
      <x:c r="B49" s="2"/>
      <x:c r="C49" s="32"/>
      <x:c r="D49" s="3"/>
      <x:c r="E49" s="3"/>
      <x:c r="F49" s="3"/>
      <x:c r="G49" s="3"/>
      <x:c r="H49" s="3"/>
      <x:c r="I49" s="3"/>
      <x:c r="J49" s="3"/>
      <x:c r="K49" s="3"/>
      <x:c r="L49" s="3"/>
      <x:c r="M49" s="3"/>
      <x:c r="N49" s="3"/>
      <x:c r="O49" s="3"/>
      <x:c r="P49" s="3"/>
      <x:c r="Q49" s="3"/>
      <x:c r="R49" s="3"/>
      <x:c r="S49" s="3"/>
      <x:c r="T49" s="3"/>
    </x:row>
    <x:row r="50" ht="25" customHeight="1">
      <x:c r="A50" s="2"/>
      <x:c r="B50" s="2"/>
      <x:c r="C50" s="32"/>
      <x:c r="D50" s="3"/>
      <x:c r="E50" s="3"/>
      <x:c r="F50" s="3"/>
      <x:c r="G50" s="3"/>
      <x:c r="H50" s="3"/>
      <x:c r="I50" s="3"/>
      <x:c r="J50" s="3"/>
      <x:c r="K50" s="3"/>
      <x:c r="L50" s="3"/>
      <x:c r="M50" s="3"/>
      <x:c r="N50" s="3"/>
      <x:c r="O50" s="3"/>
      <x:c r="P50" s="3"/>
      <x:c r="Q50" s="3"/>
      <x:c r="R50" s="3"/>
      <x:c r="S50" s="3"/>
      <x:c r="T50" s="3"/>
    </x:row>
    <x:row r="51" ht="25" customHeight="1">
      <x:c r="A51" s="2"/>
      <x:c r="B51" s="2"/>
      <x:c r="C51" s="32"/>
      <x:c r="D51" s="3"/>
      <x:c r="E51" s="3"/>
      <x:c r="F51" s="3"/>
      <x:c r="G51" s="3"/>
      <x:c r="H51" s="3"/>
      <x:c r="I51" s="3"/>
      <x:c r="J51" s="3"/>
      <x:c r="K51" s="3"/>
      <x:c r="L51" s="3"/>
      <x:c r="M51" s="3"/>
      <x:c r="N51" s="3"/>
      <x:c r="O51" s="3"/>
      <x:c r="P51" s="3"/>
      <x:c r="Q51" s="3"/>
      <x:c r="R51" s="3"/>
      <x:c r="S51" s="3"/>
      <x:c r="T51" s="3"/>
    </x:row>
    <x:row r="52" ht="25" customHeight="1">
      <x:c r="A52" s="2"/>
      <x:c r="B52" s="2"/>
      <x:c r="C52" s="32"/>
      <x:c r="D52" s="3"/>
      <x:c r="E52" s="3"/>
      <x:c r="F52" s="3"/>
      <x:c r="G52" s="3"/>
      <x:c r="H52" s="3"/>
      <x:c r="I52" s="3"/>
      <x:c r="J52" s="3"/>
      <x:c r="K52" s="3"/>
      <x:c r="L52" s="3"/>
      <x:c r="M52" s="3"/>
      <x:c r="N52" s="3"/>
      <x:c r="O52" s="3"/>
      <x:c r="P52" s="3"/>
      <x:c r="Q52" s="3"/>
      <x:c r="R52" s="3"/>
      <x:c r="S52" s="3"/>
      <x:c r="T52" s="3"/>
    </x:row>
    <x:row r="53" ht="25" customHeight="1">
      <x:c r="A53" s="2"/>
      <x:c r="B53" s="2"/>
      <x:c r="C53" s="32"/>
      <x:c r="D53" s="3"/>
      <x:c r="E53" s="3"/>
      <x:c r="F53" s="3"/>
      <x:c r="G53" s="3"/>
      <x:c r="H53" s="3"/>
      <x:c r="I53" s="3"/>
      <x:c r="J53" s="3"/>
      <x:c r="K53" s="3"/>
      <x:c r="L53" s="3"/>
      <x:c r="M53" s="3"/>
      <x:c r="N53" s="3"/>
      <x:c r="O53" s="3"/>
      <x:c r="P53" s="3"/>
      <x:c r="Q53" s="3"/>
      <x:c r="R53" s="3"/>
      <x:c r="S53" s="3"/>
      <x:c r="T53" s="3"/>
    </x:row>
    <x:row r="54" ht="25" customHeight="1">
      <x:c r="A54" s="2"/>
      <x:c r="B54" s="2"/>
      <x:c r="C54" s="32"/>
      <x:c r="D54" s="3"/>
      <x:c r="E54" s="3"/>
      <x:c r="F54" s="3"/>
      <x:c r="G54" s="3"/>
      <x:c r="H54" s="3"/>
      <x:c r="I54" s="3"/>
      <x:c r="J54" s="3"/>
      <x:c r="K54" s="3"/>
      <x:c r="L54" s="3"/>
      <x:c r="M54" s="3"/>
      <x:c r="N54" s="3"/>
      <x:c r="O54" s="3"/>
      <x:c r="P54" s="3"/>
      <x:c r="Q54" s="3"/>
      <x:c r="R54" s="3"/>
      <x:c r="S54" s="3"/>
      <x:c r="T54" s="3"/>
    </x:row>
    <x:row r="55" ht="25" customHeight="1">
      <x:c r="A55" s="2"/>
      <x:c r="B55" s="2"/>
      <x:c r="C55" s="32"/>
      <x:c r="D55" s="3"/>
      <x:c r="E55" s="3"/>
      <x:c r="F55" s="3"/>
      <x:c r="G55" s="3"/>
      <x:c r="H55" s="3"/>
      <x:c r="I55" s="3"/>
      <x:c r="J55" s="3"/>
      <x:c r="K55" s="3"/>
      <x:c r="L55" s="3"/>
      <x:c r="M55" s="3"/>
      <x:c r="N55" s="3"/>
      <x:c r="O55" s="3"/>
      <x:c r="P55" s="3"/>
      <x:c r="Q55" s="3"/>
      <x:c r="R55" s="3"/>
      <x:c r="S55" s="3"/>
      <x:c r="T55" s="3"/>
    </x:row>
    <x:row r="56" ht="25" customHeight="1">
      <x:c r="A56" s="2"/>
      <x:c r="B56" s="2"/>
      <x:c r="C56" s="32"/>
      <x:c r="D56" s="3"/>
      <x:c r="E56" s="3"/>
      <x:c r="F56" s="3"/>
      <x:c r="G56" s="3"/>
      <x:c r="H56" s="3"/>
      <x:c r="I56" s="3"/>
      <x:c r="J56" s="3"/>
      <x:c r="K56" s="3"/>
      <x:c r="L56" s="3"/>
      <x:c r="M56" s="3"/>
      <x:c r="N56" s="3"/>
      <x:c r="O56" s="3"/>
      <x:c r="P56" s="3"/>
      <x:c r="Q56" s="3"/>
      <x:c r="R56" s="3"/>
      <x:c r="S56" s="3"/>
      <x:c r="T56" s="3"/>
    </x:row>
    <x:row r="57" ht="25" customHeight="1">
      <x:c r="A57" s="2"/>
      <x:c r="B57" s="2"/>
      <x:c r="C57" s="32"/>
      <x:c r="D57" s="3"/>
      <x:c r="E57" s="3"/>
      <x:c r="F57" s="3"/>
      <x:c r="G57" s="3"/>
      <x:c r="H57" s="3"/>
      <x:c r="I57" s="3"/>
      <x:c r="J57" s="3"/>
      <x:c r="K57" s="3"/>
      <x:c r="L57" s="3"/>
      <x:c r="M57" s="3"/>
      <x:c r="N57" s="3"/>
      <x:c r="O57" s="3"/>
      <x:c r="P57" s="3"/>
      <x:c r="Q57" s="3"/>
      <x:c r="R57" s="3"/>
      <x:c r="S57" s="3"/>
      <x:c r="T57" s="3"/>
    </x:row>
    <x:row r="58" ht="25" customHeight="1">
      <x:c r="A58" s="2"/>
      <x:c r="B58" s="2"/>
      <x:c r="C58" s="32"/>
      <x:c r="D58" s="3"/>
      <x:c r="E58" s="3"/>
      <x:c r="F58" s="3"/>
      <x:c r="G58" s="3"/>
      <x:c r="H58" s="3"/>
      <x:c r="I58" s="3"/>
      <x:c r="J58" s="3"/>
      <x:c r="K58" s="3"/>
      <x:c r="L58" s="3"/>
      <x:c r="M58" s="3"/>
      <x:c r="N58" s="3"/>
      <x:c r="O58" s="3"/>
      <x:c r="P58" s="3"/>
      <x:c r="Q58" s="3"/>
      <x:c r="R58" s="3"/>
      <x:c r="S58" s="3"/>
      <x:c r="T58" s="3"/>
    </x:row>
    <x:row r="59" ht="25" customHeight="1">
      <x:c r="A59" s="2"/>
      <x:c r="B59" s="2"/>
      <x:c r="C59" s="32"/>
      <x:c r="D59" s="3"/>
      <x:c r="E59" s="3"/>
      <x:c r="F59" s="3"/>
      <x:c r="G59" s="3"/>
      <x:c r="H59" s="3"/>
      <x:c r="I59" s="3"/>
      <x:c r="J59" s="3"/>
      <x:c r="K59" s="3"/>
      <x:c r="L59" s="3"/>
      <x:c r="M59" s="3"/>
      <x:c r="N59" s="3"/>
      <x:c r="O59" s="3"/>
      <x:c r="P59" s="3"/>
      <x:c r="Q59" s="3"/>
      <x:c r="R59" s="3"/>
      <x:c r="S59" s="3"/>
      <x:c r="T59" s="3"/>
    </x:row>
    <x:row r="60" ht="25" customHeight="1">
      <x:c r="A60" s="2"/>
      <x:c r="B60" s="2"/>
      <x:c r="C60" s="32"/>
      <x:c r="D60" s="3"/>
      <x:c r="E60" s="3"/>
      <x:c r="F60" s="3"/>
      <x:c r="G60" s="3"/>
      <x:c r="H60" s="3"/>
      <x:c r="I60" s="3"/>
      <x:c r="J60" s="3"/>
      <x:c r="K60" s="3"/>
      <x:c r="L60" s="3"/>
      <x:c r="M60" s="3"/>
      <x:c r="N60" s="3"/>
      <x:c r="O60" s="3"/>
      <x:c r="P60" s="3"/>
      <x:c r="Q60" s="3"/>
      <x:c r="R60" s="3"/>
      <x:c r="S60" s="3"/>
      <x:c r="T60" s="3"/>
    </x:row>
    <x:row r="61" ht="25" customHeight="1">
      <x:c r="A61" s="2"/>
      <x:c r="B61" s="2"/>
      <x:c r="C61" s="32"/>
      <x:c r="D61" s="3"/>
      <x:c r="E61" s="3"/>
      <x:c r="F61" s="3"/>
      <x:c r="G61" s="3"/>
      <x:c r="H61" s="3"/>
      <x:c r="I61" s="3"/>
      <x:c r="J61" s="3"/>
      <x:c r="K61" s="3"/>
      <x:c r="L61" s="3"/>
      <x:c r="M61" s="3"/>
      <x:c r="N61" s="3"/>
      <x:c r="O61" s="3"/>
      <x:c r="P61" s="3"/>
      <x:c r="Q61" s="3"/>
      <x:c r="R61" s="3"/>
      <x:c r="S61" s="3"/>
      <x:c r="T61" s="3"/>
    </x:row>
    <x:row r="62" ht="25" customHeight="1">
      <x:c r="A62" s="2"/>
      <x:c r="B62" s="2"/>
      <x:c r="C62" s="32"/>
      <x:c r="D62" s="3"/>
      <x:c r="E62" s="3"/>
      <x:c r="F62" s="3"/>
      <x:c r="G62" s="3"/>
      <x:c r="H62" s="3"/>
      <x:c r="I62" s="3"/>
      <x:c r="J62" s="3"/>
      <x:c r="K62" s="3"/>
      <x:c r="L62" s="3"/>
      <x:c r="M62" s="3"/>
      <x:c r="N62" s="3"/>
      <x:c r="O62" s="3"/>
      <x:c r="P62" s="3"/>
      <x:c r="Q62" s="3"/>
      <x:c r="R62" s="3"/>
      <x:c r="S62" s="3"/>
      <x:c r="T62" s="3"/>
    </x:row>
    <x:row r="63" ht="25" customHeight="1">
      <x:c r="A63" s="2"/>
      <x:c r="B63" s="2"/>
      <x:c r="C63" s="32"/>
      <x:c r="D63" s="3"/>
      <x:c r="E63" s="3"/>
      <x:c r="F63" s="3"/>
      <x:c r="G63" s="3"/>
      <x:c r="H63" s="3"/>
      <x:c r="I63" s="3"/>
      <x:c r="J63" s="3"/>
      <x:c r="K63" s="3"/>
      <x:c r="L63" s="3"/>
      <x:c r="M63" s="3"/>
      <x:c r="N63" s="3"/>
      <x:c r="O63" s="3"/>
      <x:c r="P63" s="3"/>
      <x:c r="Q63" s="3"/>
      <x:c r="R63" s="3"/>
      <x:c r="S63" s="3"/>
      <x:c r="T63" s="3"/>
    </x:row>
    <x:row r="64" ht="25" customHeight="1">
      <x:c r="A64" s="2"/>
      <x:c r="B64" s="2"/>
      <x:c r="C64" s="32"/>
      <x:c r="D64" s="3"/>
      <x:c r="E64" s="3"/>
      <x:c r="F64" s="3"/>
      <x:c r="G64" s="3"/>
      <x:c r="H64" s="3"/>
      <x:c r="I64" s="3"/>
      <x:c r="J64" s="3"/>
      <x:c r="K64" s="3"/>
      <x:c r="L64" s="3"/>
      <x:c r="M64" s="3"/>
      <x:c r="N64" s="3"/>
      <x:c r="O64" s="3"/>
      <x:c r="P64" s="3"/>
      <x:c r="Q64" s="3"/>
      <x:c r="R64" s="3"/>
      <x:c r="S64" s="3"/>
      <x:c r="T64" s="3"/>
    </x:row>
    <x:row r="65" ht="25" customHeight="1">
      <x:c r="A65" s="2"/>
      <x:c r="B65" s="2"/>
      <x:c r="C65" s="32"/>
      <x:c r="D65" s="3"/>
      <x:c r="E65" s="3"/>
      <x:c r="F65" s="3"/>
      <x:c r="G65" s="3"/>
      <x:c r="H65" s="3"/>
      <x:c r="I65" s="3"/>
      <x:c r="J65" s="3"/>
      <x:c r="K65" s="3"/>
      <x:c r="L65" s="3"/>
      <x:c r="M65" s="3"/>
      <x:c r="N65" s="3"/>
      <x:c r="O65" s="3"/>
      <x:c r="P65" s="3"/>
      <x:c r="Q65" s="3"/>
      <x:c r="R65" s="3"/>
      <x:c r="S65" s="3"/>
      <x:c r="T65" s="3"/>
    </x:row>
    <x:row r="66" ht="25" customHeight="1">
      <x:c r="A66" s="2"/>
      <x:c r="B66" s="2"/>
      <x:c r="C66" s="32"/>
      <x:c r="D66" s="3"/>
      <x:c r="E66" s="3"/>
      <x:c r="F66" s="3"/>
      <x:c r="G66" s="3"/>
      <x:c r="H66" s="3"/>
      <x:c r="I66" s="3"/>
      <x:c r="J66" s="3"/>
      <x:c r="K66" s="3"/>
      <x:c r="L66" s="3"/>
      <x:c r="M66" s="3"/>
      <x:c r="N66" s="3"/>
      <x:c r="O66" s="3"/>
      <x:c r="P66" s="3"/>
      <x:c r="Q66" s="3"/>
      <x:c r="R66" s="3"/>
      <x:c r="S66" s="3"/>
      <x:c r="T66" s="3"/>
    </x:row>
    <x:row r="67" ht="25" customHeight="1">
      <x:c r="A67" s="2"/>
      <x:c r="B67" s="2"/>
      <x:c r="C67" s="32"/>
      <x:c r="D67" s="3"/>
      <x:c r="E67" s="3"/>
      <x:c r="F67" s="3"/>
      <x:c r="G67" s="3"/>
      <x:c r="H67" s="3"/>
      <x:c r="I67" s="3"/>
      <x:c r="J67" s="3"/>
      <x:c r="K67" s="3"/>
      <x:c r="L67" s="3"/>
      <x:c r="M67" s="3"/>
      <x:c r="N67" s="3"/>
      <x:c r="O67" s="3"/>
      <x:c r="P67" s="3"/>
      <x:c r="Q67" s="3"/>
      <x:c r="R67" s="3"/>
      <x:c r="S67" s="3"/>
      <x:c r="T67" s="3"/>
    </x:row>
    <x:row r="68" ht="25" customHeight="1">
      <x:c r="A68" s="2"/>
      <x:c r="B68" s="2"/>
      <x:c r="C68" s="32"/>
      <x:c r="D68" s="3"/>
      <x:c r="E68" s="3"/>
      <x:c r="F68" s="3"/>
      <x:c r="G68" s="3"/>
      <x:c r="H68" s="3"/>
      <x:c r="I68" s="3"/>
      <x:c r="J68" s="3"/>
      <x:c r="K68" s="3"/>
      <x:c r="L68" s="3"/>
      <x:c r="M68" s="3"/>
      <x:c r="N68" s="3"/>
      <x:c r="O68" s="3"/>
      <x:c r="P68" s="3"/>
      <x:c r="Q68" s="3"/>
      <x:c r="R68" s="3"/>
      <x:c r="S68" s="3"/>
      <x:c r="T68" s="3"/>
    </x:row>
    <x:row r="69" ht="25" customHeight="1">
      <x:c r="A69" s="2"/>
      <x:c r="B69" s="2"/>
      <x:c r="C69" s="32"/>
      <x:c r="D69" s="3"/>
      <x:c r="E69" s="3"/>
      <x:c r="F69" s="3"/>
      <x:c r="G69" s="3"/>
      <x:c r="H69" s="3"/>
      <x:c r="I69" s="3"/>
      <x:c r="J69" s="3"/>
      <x:c r="K69" s="3"/>
      <x:c r="L69" s="3"/>
      <x:c r="M69" s="3"/>
      <x:c r="N69" s="3"/>
      <x:c r="O69" s="3"/>
      <x:c r="P69" s="3"/>
      <x:c r="Q69" s="3"/>
      <x:c r="R69" s="3"/>
      <x:c r="S69" s="3"/>
      <x:c r="T69" s="3"/>
    </x:row>
    <x:row r="70" ht="25" customHeight="1">
      <x:c r="A70" s="2"/>
      <x:c r="B70" s="2"/>
      <x:c r="C70" s="32"/>
      <x:c r="D70" s="3"/>
      <x:c r="E70" s="3"/>
      <x:c r="F70" s="3"/>
      <x:c r="G70" s="3"/>
      <x:c r="H70" s="3"/>
      <x:c r="I70" s="3"/>
      <x:c r="J70" s="3"/>
      <x:c r="K70" s="3"/>
      <x:c r="L70" s="3"/>
      <x:c r="M70" s="3"/>
      <x:c r="N70" s="3"/>
      <x:c r="O70" s="3"/>
      <x:c r="P70" s="3"/>
      <x:c r="Q70" s="3"/>
      <x:c r="R70" s="3"/>
      <x:c r="S70" s="3"/>
      <x:c r="T70" s="3"/>
    </x:row>
    <x:row r="71" ht="25" customHeight="1">
      <x:c r="A71" s="2"/>
      <x:c r="B71" s="2"/>
      <x:c r="C71" s="32"/>
      <x:c r="D71" s="3"/>
      <x:c r="E71" s="3"/>
      <x:c r="F71" s="3"/>
      <x:c r="G71" s="3"/>
      <x:c r="H71" s="3"/>
      <x:c r="I71" s="3"/>
      <x:c r="J71" s="3"/>
      <x:c r="K71" s="3"/>
      <x:c r="L71" s="3"/>
      <x:c r="M71" s="3"/>
      <x:c r="N71" s="3"/>
      <x:c r="O71" s="3"/>
      <x:c r="P71" s="3"/>
      <x:c r="Q71" s="3"/>
      <x:c r="R71" s="3"/>
      <x:c r="S71" s="3"/>
      <x:c r="T71" s="3"/>
    </x:row>
    <x:row r="72" ht="25" customHeight="1">
      <x:c r="A72" s="2"/>
      <x:c r="B72" s="2"/>
      <x:c r="C72" s="32"/>
      <x:c r="D72" s="3"/>
      <x:c r="E72" s="3"/>
      <x:c r="F72" s="3"/>
      <x:c r="G72" s="3"/>
      <x:c r="H72" s="3"/>
      <x:c r="I72" s="3"/>
      <x:c r="J72" s="3"/>
      <x:c r="K72" s="3"/>
      <x:c r="L72" s="3"/>
      <x:c r="M72" s="3"/>
      <x:c r="N72" s="3"/>
      <x:c r="O72" s="3"/>
      <x:c r="P72" s="3"/>
      <x:c r="Q72" s="3"/>
      <x:c r="R72" s="3"/>
      <x:c r="S72" s="3"/>
      <x:c r="T72" s="3"/>
    </x:row>
    <x:row r="73" ht="25" customHeight="1">
      <x:c r="A73" s="2"/>
      <x:c r="B73" s="2"/>
      <x:c r="C73" s="32"/>
      <x:c r="D73" s="3"/>
      <x:c r="E73" s="3"/>
      <x:c r="F73" s="3"/>
      <x:c r="G73" s="3"/>
      <x:c r="H73" s="3"/>
      <x:c r="I73" s="3"/>
      <x:c r="J73" s="3"/>
      <x:c r="K73" s="3"/>
      <x:c r="L73" s="3"/>
      <x:c r="M73" s="3"/>
      <x:c r="N73" s="3"/>
      <x:c r="O73" s="3"/>
      <x:c r="P73" s="3"/>
      <x:c r="Q73" s="3"/>
      <x:c r="R73" s="3"/>
      <x:c r="S73" s="3"/>
      <x:c r="T73" s="3"/>
    </x:row>
    <x:row r="74" ht="25" customHeight="1">
      <x:c r="A74" s="2"/>
      <x:c r="B74" s="2"/>
      <x:c r="C74" s="32"/>
      <x:c r="D74" s="3"/>
      <x:c r="E74" s="3"/>
      <x:c r="F74" s="3"/>
      <x:c r="G74" s="3"/>
      <x:c r="H74" s="3"/>
      <x:c r="I74" s="3"/>
      <x:c r="J74" s="3"/>
      <x:c r="K74" s="3"/>
      <x:c r="L74" s="3"/>
      <x:c r="M74" s="3"/>
      <x:c r="N74" s="3"/>
      <x:c r="O74" s="3"/>
      <x:c r="P74" s="3"/>
      <x:c r="Q74" s="3"/>
      <x:c r="R74" s="3"/>
      <x:c r="S74" s="3"/>
      <x:c r="T74" s="3"/>
    </x:row>
    <x:row r="75" ht="25" customHeight="1">
      <x:c r="A75" s="2"/>
      <x:c r="B75" s="2"/>
      <x:c r="C75" s="32"/>
      <x:c r="D75" s="3"/>
      <x:c r="E75" s="3"/>
      <x:c r="F75" s="3"/>
      <x:c r="G75" s="3"/>
      <x:c r="H75" s="3"/>
      <x:c r="I75" s="3"/>
      <x:c r="J75" s="3"/>
      <x:c r="K75" s="3"/>
      <x:c r="L75" s="3"/>
      <x:c r="M75" s="3"/>
      <x:c r="N75" s="3"/>
      <x:c r="O75" s="3"/>
      <x:c r="P75" s="3"/>
      <x:c r="Q75" s="3"/>
      <x:c r="R75" s="3"/>
      <x:c r="S75" s="3"/>
      <x:c r="T75" s="3"/>
    </x:row>
    <x:row r="76" ht="25" customHeight="1">
      <x:c r="A76" s="2"/>
      <x:c r="B76" s="2"/>
      <x:c r="C76" s="32"/>
      <x:c r="D76" s="3"/>
      <x:c r="E76" s="3"/>
      <x:c r="F76" s="3"/>
      <x:c r="G76" s="3"/>
      <x:c r="H76" s="3"/>
      <x:c r="I76" s="3"/>
      <x:c r="J76" s="3"/>
      <x:c r="K76" s="3"/>
      <x:c r="L76" s="3"/>
      <x:c r="M76" s="3"/>
      <x:c r="N76" s="3"/>
      <x:c r="O76" s="3"/>
      <x:c r="P76" s="3"/>
      <x:c r="Q76" s="3"/>
      <x:c r="R76" s="3"/>
      <x:c r="S76" s="3"/>
      <x:c r="T76" s="3"/>
    </x:row>
    <x:row r="77" ht="25" customHeight="1">
      <x:c r="A77" s="2"/>
      <x:c r="B77" s="2"/>
      <x:c r="C77" s="32"/>
      <x:c r="D77" s="3"/>
      <x:c r="E77" s="3"/>
      <x:c r="F77" s="3"/>
      <x:c r="G77" s="3"/>
      <x:c r="H77" s="3"/>
      <x:c r="I77" s="3"/>
      <x:c r="J77" s="3"/>
      <x:c r="K77" s="3"/>
      <x:c r="L77" s="3"/>
      <x:c r="M77" s="3"/>
      <x:c r="N77" s="3"/>
      <x:c r="O77" s="3"/>
      <x:c r="P77" s="3"/>
      <x:c r="Q77" s="3"/>
      <x:c r="R77" s="3"/>
      <x:c r="S77" s="3"/>
      <x:c r="T77" s="3"/>
    </x:row>
    <x:row r="78" ht="25" customHeight="1">
      <x:c r="A78" s="2"/>
      <x:c r="B78" s="2"/>
      <x:c r="C78" s="32"/>
      <x:c r="D78" s="3"/>
      <x:c r="E78" s="3"/>
      <x:c r="F78" s="3"/>
      <x:c r="G78" s="3"/>
      <x:c r="H78" s="3"/>
      <x:c r="I78" s="3"/>
      <x:c r="J78" s="3"/>
      <x:c r="K78" s="3"/>
      <x:c r="L78" s="3"/>
      <x:c r="M78" s="3"/>
      <x:c r="N78" s="3"/>
      <x:c r="O78" s="3"/>
      <x:c r="P78" s="3"/>
      <x:c r="Q78" s="3"/>
      <x:c r="R78" s="3"/>
      <x:c r="S78" s="3"/>
      <x:c r="T78" s="3"/>
    </x:row>
    <x:row r="79" ht="25" customHeight="1">
      <x:c r="A79" s="2"/>
      <x:c r="B79" s="2"/>
      <x:c r="C79" s="32"/>
      <x:c r="D79" s="3"/>
      <x:c r="E79" s="3"/>
      <x:c r="F79" s="3"/>
      <x:c r="G79" s="3"/>
      <x:c r="H79" s="3"/>
      <x:c r="I79" s="3"/>
      <x:c r="J79" s="3"/>
      <x:c r="K79" s="3"/>
      <x:c r="L79" s="3"/>
      <x:c r="M79" s="3"/>
      <x:c r="N79" s="3"/>
      <x:c r="O79" s="3"/>
      <x:c r="P79" s="3"/>
      <x:c r="Q79" s="3"/>
      <x:c r="R79" s="3"/>
      <x:c r="S79" s="3"/>
      <x:c r="T79" s="3"/>
    </x:row>
    <x:row r="80" ht="25" customHeight="1">
      <x:c r="A80" s="2"/>
      <x:c r="B80" s="2"/>
      <x:c r="C80" s="32"/>
      <x:c r="D80" s="3"/>
      <x:c r="E80" s="3"/>
      <x:c r="F80" s="3"/>
      <x:c r="G80" s="3"/>
      <x:c r="H80" s="3"/>
      <x:c r="I80" s="3"/>
      <x:c r="J80" s="3"/>
      <x:c r="K80" s="3"/>
      <x:c r="L80" s="3"/>
      <x:c r="M80" s="3"/>
      <x:c r="N80" s="3"/>
      <x:c r="O80" s="3"/>
      <x:c r="P80" s="3"/>
      <x:c r="Q80" s="3"/>
      <x:c r="R80" s="3"/>
      <x:c r="S80" s="3"/>
      <x:c r="T80" s="3"/>
    </x:row>
    <x:row r="81" ht="25" customHeight="1">
      <x:c r="A81" s="2"/>
      <x:c r="B81" s="2"/>
      <x:c r="C81" s="32"/>
      <x:c r="D81" s="3"/>
      <x:c r="E81" s="3"/>
      <x:c r="F81" s="3"/>
      <x:c r="G81" s="3"/>
      <x:c r="H81" s="3"/>
      <x:c r="I81" s="3"/>
      <x:c r="J81" s="3"/>
      <x:c r="K81" s="3"/>
      <x:c r="L81" s="3"/>
      <x:c r="M81" s="3"/>
      <x:c r="N81" s="3"/>
      <x:c r="O81" s="3"/>
      <x:c r="P81" s="3"/>
      <x:c r="Q81" s="3"/>
      <x:c r="R81" s="3"/>
      <x:c r="S81" s="3"/>
      <x:c r="T81" s="3"/>
    </x:row>
    <x:row r="82" ht="25" customHeight="1">
      <x:c r="A82" s="2"/>
      <x:c r="B82" s="2"/>
      <x:c r="C82" s="32"/>
      <x:c r="D82" s="3"/>
      <x:c r="E82" s="3"/>
      <x:c r="F82" s="3"/>
      <x:c r="G82" s="3"/>
      <x:c r="H82" s="3"/>
      <x:c r="I82" s="3"/>
      <x:c r="J82" s="3"/>
      <x:c r="K82" s="3"/>
      <x:c r="L82" s="3"/>
      <x:c r="M82" s="3"/>
      <x:c r="N82" s="3"/>
      <x:c r="O82" s="3"/>
      <x:c r="P82" s="3"/>
      <x:c r="Q82" s="3"/>
      <x:c r="R82" s="3"/>
      <x:c r="S82" s="3"/>
      <x:c r="T82" s="3"/>
    </x:row>
    <x:row r="83" ht="25" customHeight="1">
      <x:c r="A83" s="2"/>
      <x:c r="B83" s="2"/>
      <x:c r="C83" s="32"/>
      <x:c r="D83" s="3"/>
      <x:c r="E83" s="3"/>
      <x:c r="F83" s="3"/>
      <x:c r="G83" s="3"/>
      <x:c r="H83" s="3"/>
      <x:c r="I83" s="3"/>
      <x:c r="J83" s="3"/>
      <x:c r="K83" s="3"/>
      <x:c r="L83" s="3"/>
      <x:c r="M83" s="3"/>
      <x:c r="N83" s="3"/>
      <x:c r="O83" s="3"/>
      <x:c r="P83" s="3"/>
      <x:c r="Q83" s="3"/>
      <x:c r="R83" s="3"/>
      <x:c r="S83" s="3"/>
      <x:c r="T83" s="3"/>
    </x:row>
    <x:row r="84" ht="25" customHeight="1">
      <x:c r="A84" s="2"/>
      <x:c r="B84" s="2"/>
      <x:c r="C84" s="32"/>
      <x:c r="D84" s="3"/>
      <x:c r="E84" s="3"/>
      <x:c r="F84" s="3"/>
      <x:c r="G84" s="3"/>
      <x:c r="H84" s="3"/>
      <x:c r="I84" s="3"/>
      <x:c r="J84" s="3"/>
      <x:c r="K84" s="3"/>
      <x:c r="L84" s="3"/>
      <x:c r="M84" s="3"/>
      <x:c r="N84" s="3"/>
      <x:c r="O84" s="3"/>
      <x:c r="P84" s="3"/>
      <x:c r="Q84" s="3"/>
      <x:c r="R84" s="3"/>
      <x:c r="S84" s="3"/>
      <x:c r="T84" s="3"/>
    </x:row>
    <x:row r="85" ht="25" customHeight="1">
      <x:c r="A85" s="2"/>
      <x:c r="B85" s="2"/>
      <x:c r="C85" s="32"/>
      <x:c r="D85" s="3"/>
      <x:c r="E85" s="3"/>
      <x:c r="F85" s="3"/>
      <x:c r="G85" s="3"/>
      <x:c r="H85" s="3"/>
      <x:c r="I85" s="3"/>
      <x:c r="J85" s="3"/>
      <x:c r="K85" s="3"/>
      <x:c r="L85" s="3"/>
      <x:c r="M85" s="3"/>
      <x:c r="N85" s="3"/>
      <x:c r="O85" s="3"/>
      <x:c r="P85" s="3"/>
      <x:c r="Q85" s="3"/>
      <x:c r="R85" s="3"/>
      <x:c r="S85" s="3"/>
      <x:c r="T85" s="3"/>
    </x:row>
    <x:row r="86" ht="25" customHeight="1">
      <x:c r="A86" s="2"/>
      <x:c r="B86" s="2"/>
      <x:c r="C86" s="32"/>
      <x:c r="D86" s="3"/>
      <x:c r="E86" s="3"/>
      <x:c r="F86" s="3"/>
      <x:c r="G86" s="3"/>
      <x:c r="H86" s="3"/>
      <x:c r="I86" s="3"/>
      <x:c r="J86" s="3"/>
      <x:c r="K86" s="3"/>
      <x:c r="L86" s="3"/>
      <x:c r="M86" s="3"/>
      <x:c r="N86" s="3"/>
      <x:c r="O86" s="3"/>
      <x:c r="P86" s="3"/>
      <x:c r="Q86" s="3"/>
      <x:c r="R86" s="3"/>
      <x:c r="S86" s="3"/>
      <x:c r="T86" s="3"/>
    </x:row>
    <x:row r="87" ht="25" customHeight="1">
      <x:c r="A87" s="2"/>
      <x:c r="B87" s="2"/>
      <x:c r="C87" s="32"/>
      <x:c r="D87" s="3"/>
      <x:c r="E87" s="3"/>
      <x:c r="F87" s="3"/>
      <x:c r="G87" s="3"/>
      <x:c r="H87" s="3"/>
      <x:c r="I87" s="3"/>
      <x:c r="J87" s="3"/>
      <x:c r="K87" s="3"/>
      <x:c r="L87" s="3"/>
      <x:c r="M87" s="3"/>
      <x:c r="N87" s="3"/>
      <x:c r="O87" s="3"/>
      <x:c r="P87" s="3"/>
      <x:c r="Q87" s="3"/>
      <x:c r="R87" s="3"/>
      <x:c r="S87" s="3"/>
      <x:c r="T87" s="3"/>
    </x:row>
    <x:row r="88" ht="25" customHeight="1">
      <x:c r="A88" s="2"/>
      <x:c r="B88" s="2"/>
      <x:c r="C88" s="32"/>
      <x:c r="D88" s="3"/>
      <x:c r="E88" s="3"/>
      <x:c r="F88" s="3"/>
      <x:c r="G88" s="3"/>
      <x:c r="H88" s="3"/>
      <x:c r="I88" s="3"/>
      <x:c r="J88" s="3"/>
      <x:c r="K88" s="3"/>
      <x:c r="L88" s="3"/>
      <x:c r="M88" s="3"/>
      <x:c r="N88" s="3"/>
      <x:c r="O88" s="3"/>
      <x:c r="P88" s="3"/>
      <x:c r="Q88" s="3"/>
      <x:c r="R88" s="3"/>
      <x:c r="S88" s="3"/>
      <x:c r="T88" s="3"/>
    </x:row>
    <x:row r="89" ht="25" customHeight="1">
      <x:c r="A89" s="2"/>
      <x:c r="B89" s="2"/>
      <x:c r="C89" s="32"/>
      <x:c r="D89" s="3"/>
      <x:c r="E89" s="3"/>
      <x:c r="F89" s="3"/>
      <x:c r="G89" s="3"/>
      <x:c r="H89" s="3"/>
      <x:c r="I89" s="3"/>
      <x:c r="J89" s="3"/>
      <x:c r="K89" s="3"/>
      <x:c r="L89" s="3"/>
      <x:c r="M89" s="3"/>
      <x:c r="N89" s="3"/>
      <x:c r="O89" s="3"/>
      <x:c r="P89" s="3"/>
      <x:c r="Q89" s="3"/>
      <x:c r="R89" s="3"/>
      <x:c r="S89" s="3"/>
      <x:c r="T89" s="3"/>
    </x:row>
    <x:row r="90" ht="25" customHeight="1">
      <x:c r="A90" s="2"/>
      <x:c r="B90" s="2"/>
      <x:c r="C90" s="32"/>
      <x:c r="D90" s="3"/>
      <x:c r="E90" s="3"/>
      <x:c r="F90" s="3"/>
      <x:c r="G90" s="3"/>
      <x:c r="H90" s="3"/>
      <x:c r="I90" s="3"/>
      <x:c r="J90" s="3"/>
      <x:c r="K90" s="3"/>
      <x:c r="L90" s="3"/>
      <x:c r="M90" s="3"/>
      <x:c r="N90" s="3"/>
      <x:c r="O90" s="3"/>
      <x:c r="P90" s="3"/>
      <x:c r="Q90" s="3"/>
      <x:c r="R90" s="3"/>
      <x:c r="S90" s="3"/>
      <x:c r="T90" s="3"/>
    </x:row>
    <x:row r="91" ht="25" customHeight="1">
      <x:c r="A91" s="2"/>
      <x:c r="B91" s="2"/>
      <x:c r="C91" s="32"/>
      <x:c r="D91" s="3"/>
      <x:c r="E91" s="3"/>
      <x:c r="F91" s="3"/>
      <x:c r="G91" s="3"/>
      <x:c r="H91" s="3"/>
      <x:c r="I91" s="3"/>
      <x:c r="J91" s="3"/>
      <x:c r="K91" s="3"/>
      <x:c r="L91" s="3"/>
      <x:c r="M91" s="3"/>
      <x:c r="N91" s="3"/>
      <x:c r="O91" s="3"/>
      <x:c r="P91" s="3"/>
      <x:c r="Q91" s="3"/>
      <x:c r="R91" s="3"/>
      <x:c r="S91" s="3"/>
      <x:c r="T91" s="3"/>
    </x:row>
    <x:row r="92" ht="25" customHeight="1">
      <x:c r="A92" s="2"/>
      <x:c r="B92" s="2"/>
      <x:c r="C92" s="32"/>
      <x:c r="D92" s="3"/>
      <x:c r="E92" s="3"/>
      <x:c r="F92" s="3"/>
      <x:c r="G92" s="3"/>
      <x:c r="H92" s="3"/>
      <x:c r="I92" s="3"/>
      <x:c r="J92" s="3"/>
      <x:c r="K92" s="3"/>
      <x:c r="L92" s="3"/>
      <x:c r="M92" s="3"/>
      <x:c r="N92" s="3"/>
      <x:c r="O92" s="3"/>
      <x:c r="P92" s="3"/>
      <x:c r="Q92" s="3"/>
      <x:c r="R92" s="3"/>
      <x:c r="S92" s="3"/>
      <x:c r="T92" s="3"/>
    </x:row>
    <x:row r="93" ht="25" customHeight="1">
      <x:c r="A93" s="2"/>
      <x:c r="B93" s="2"/>
      <x:c r="C93" s="32"/>
      <x:c r="D93" s="3"/>
      <x:c r="E93" s="3"/>
      <x:c r="F93" s="3"/>
      <x:c r="G93" s="3"/>
      <x:c r="H93" s="3"/>
      <x:c r="I93" s="3"/>
      <x:c r="J93" s="3"/>
      <x:c r="K93" s="3"/>
      <x:c r="L93" s="3"/>
      <x:c r="M93" s="3"/>
      <x:c r="N93" s="3"/>
      <x:c r="O93" s="3"/>
      <x:c r="P93" s="3"/>
      <x:c r="Q93" s="3"/>
      <x:c r="R93" s="3"/>
      <x:c r="S93" s="3"/>
      <x:c r="T93" s="3"/>
    </x:row>
    <x:row r="94" ht="25" customHeight="1">
      <x:c r="A94" s="2"/>
      <x:c r="B94" s="2"/>
      <x:c r="C94" s="32"/>
      <x:c r="D94" s="3"/>
      <x:c r="E94" s="3"/>
      <x:c r="F94" s="3"/>
      <x:c r="G94" s="3"/>
      <x:c r="H94" s="3"/>
      <x:c r="I94" s="3"/>
      <x:c r="J94" s="3"/>
      <x:c r="K94" s="3"/>
      <x:c r="L94" s="3"/>
      <x:c r="M94" s="3"/>
      <x:c r="N94" s="3"/>
      <x:c r="O94" s="3"/>
      <x:c r="P94" s="3"/>
      <x:c r="Q94" s="3"/>
      <x:c r="R94" s="3"/>
      <x:c r="S94" s="3"/>
      <x:c r="T94" s="3"/>
    </x:row>
    <x:row r="95" ht="25" customHeight="1">
      <x:c r="A95" s="2"/>
      <x:c r="B95" s="2"/>
      <x:c r="C95" s="32"/>
      <x:c r="D95" s="3"/>
      <x:c r="E95" s="3"/>
      <x:c r="F95" s="3"/>
      <x:c r="G95" s="3"/>
      <x:c r="H95" s="3"/>
      <x:c r="I95" s="3"/>
      <x:c r="J95" s="3"/>
      <x:c r="K95" s="3"/>
      <x:c r="L95" s="3"/>
      <x:c r="M95" s="3"/>
      <x:c r="N95" s="3"/>
      <x:c r="O95" s="3"/>
      <x:c r="P95" s="3"/>
      <x:c r="Q95" s="3"/>
      <x:c r="R95" s="3"/>
      <x:c r="S95" s="3"/>
      <x:c r="T95" s="3"/>
    </x:row>
    <x:row r="96" ht="25" customHeight="1">
      <x:c r="A96" s="2"/>
      <x:c r="B96" s="2"/>
      <x:c r="C96" s="32"/>
      <x:c r="D96" s="3"/>
      <x:c r="E96" s="3"/>
      <x:c r="F96" s="3"/>
      <x:c r="G96" s="3"/>
      <x:c r="H96" s="3"/>
      <x:c r="I96" s="3"/>
      <x:c r="J96" s="3"/>
      <x:c r="K96" s="3"/>
      <x:c r="L96" s="3"/>
      <x:c r="M96" s="3"/>
      <x:c r="N96" s="3"/>
      <x:c r="O96" s="3"/>
      <x:c r="P96" s="3"/>
      <x:c r="Q96" s="3"/>
      <x:c r="R96" s="3"/>
      <x:c r="S96" s="3"/>
      <x:c r="T96" s="3"/>
    </x:row>
    <x:row r="97" ht="25" customHeight="1">
      <x:c r="A97" s="2"/>
      <x:c r="B97" s="2"/>
      <x:c r="C97" s="32"/>
      <x:c r="D97" s="3"/>
      <x:c r="E97" s="3"/>
      <x:c r="F97" s="3"/>
      <x:c r="G97" s="3"/>
      <x:c r="H97" s="3"/>
      <x:c r="I97" s="3"/>
      <x:c r="J97" s="3"/>
      <x:c r="K97" s="3"/>
      <x:c r="L97" s="3"/>
      <x:c r="M97" s="3"/>
      <x:c r="N97" s="3"/>
      <x:c r="O97" s="3"/>
      <x:c r="P97" s="3"/>
      <x:c r="Q97" s="3"/>
      <x:c r="R97" s="3"/>
      <x:c r="S97" s="3"/>
      <x:c r="T97" s="3"/>
    </x:row>
    <x:row r="98" ht="25" customHeight="1">
      <x:c r="A98" s="2"/>
      <x:c r="B98" s="2"/>
      <x:c r="C98" s="32"/>
      <x:c r="D98" s="3"/>
      <x:c r="E98" s="3"/>
      <x:c r="F98" s="3"/>
      <x:c r="G98" s="3"/>
      <x:c r="H98" s="3"/>
      <x:c r="I98" s="3"/>
      <x:c r="J98" s="3"/>
      <x:c r="K98" s="3"/>
      <x:c r="L98" s="3"/>
      <x:c r="M98" s="3"/>
      <x:c r="N98" s="3"/>
      <x:c r="O98" s="3"/>
      <x:c r="P98" s="3"/>
      <x:c r="Q98" s="3"/>
      <x:c r="R98" s="3"/>
      <x:c r="S98" s="3"/>
      <x:c r="T98" s="3"/>
    </x:row>
    <x:row r="99" ht="25" customHeight="1">
      <x:c r="A99" s="2"/>
      <x:c r="B99" s="2"/>
      <x:c r="C99" s="32"/>
      <x:c r="D99" s="3"/>
      <x:c r="E99" s="3"/>
      <x:c r="F99" s="3"/>
      <x:c r="G99" s="3"/>
      <x:c r="H99" s="3"/>
      <x:c r="I99" s="3"/>
      <x:c r="J99" s="3"/>
      <x:c r="K99" s="3"/>
      <x:c r="L99" s="3"/>
      <x:c r="M99" s="3"/>
      <x:c r="N99" s="3"/>
      <x:c r="O99" s="3"/>
      <x:c r="P99" s="3"/>
      <x:c r="Q99" s="3"/>
      <x:c r="R99" s="3"/>
      <x:c r="S99" s="3"/>
      <x:c r="T99" s="3"/>
    </x:row>
    <x:row r="100" ht="25" customHeight="1">
      <x:c r="A100" s="2"/>
      <x:c r="B100" s="2"/>
      <x:c r="C100" s="32"/>
      <x:c r="D100" s="3"/>
      <x:c r="E100" s="3"/>
      <x:c r="F100" s="3"/>
      <x:c r="G100" s="3"/>
      <x:c r="H100" s="3"/>
      <x:c r="I100" s="3"/>
      <x:c r="J100" s="3"/>
      <x:c r="K100" s="3"/>
      <x:c r="L100" s="3"/>
      <x:c r="M100" s="3"/>
      <x:c r="N100" s="3"/>
      <x:c r="O100" s="3"/>
      <x:c r="P100" s="3"/>
      <x:c r="Q100" s="3"/>
      <x:c r="R100" s="3"/>
      <x:c r="S100" s="3"/>
      <x:c r="T100" s="3"/>
    </x:row>
    <x:row r="101" ht="25" customHeight="1">
      <x:c r="A101" s="2"/>
      <x:c r="B101" s="2"/>
      <x:c r="C101" s="32"/>
      <x:c r="D101" s="3"/>
      <x:c r="E101" s="3"/>
      <x:c r="F101" s="3"/>
      <x:c r="G101" s="3"/>
      <x:c r="H101" s="3"/>
      <x:c r="I101" s="3"/>
      <x:c r="J101" s="3"/>
      <x:c r="K101" s="3"/>
      <x:c r="L101" s="3"/>
      <x:c r="M101" s="3"/>
      <x:c r="N101" s="3"/>
      <x:c r="O101" s="3"/>
      <x:c r="P101" s="3"/>
      <x:c r="Q101" s="3"/>
      <x:c r="R101" s="3"/>
      <x:c r="S101" s="3"/>
      <x:c r="T101" s="3"/>
    </x:row>
    <x:row r="102" ht="25" customHeight="1">
      <x:c r="A102" s="2"/>
      <x:c r="B102" s="2"/>
      <x:c r="C102" s="32"/>
      <x:c r="D102" s="3"/>
      <x:c r="E102" s="3"/>
      <x:c r="F102" s="3"/>
      <x:c r="G102" s="3"/>
      <x:c r="H102" s="3"/>
      <x:c r="I102" s="3"/>
      <x:c r="J102" s="3"/>
      <x:c r="K102" s="3"/>
      <x:c r="L102" s="3"/>
      <x:c r="M102" s="3"/>
      <x:c r="N102" s="3"/>
      <x:c r="O102" s="3"/>
      <x:c r="P102" s="3"/>
      <x:c r="Q102" s="3"/>
      <x:c r="R102" s="3"/>
      <x:c r="S102" s="3"/>
      <x:c r="T102" s="3"/>
    </x:row>
    <x:row r="103" ht="25" customHeight="1">
      <x:c r="A103" s="2"/>
      <x:c r="B103" s="2"/>
      <x:c r="C103" s="32"/>
      <x:c r="D103" s="3"/>
      <x:c r="E103" s="3"/>
      <x:c r="F103" s="3"/>
      <x:c r="G103" s="3"/>
      <x:c r="H103" s="3"/>
      <x:c r="I103" s="3"/>
      <x:c r="J103" s="3"/>
      <x:c r="K103" s="3"/>
      <x:c r="L103" s="3"/>
      <x:c r="M103" s="3"/>
      <x:c r="N103" s="3"/>
      <x:c r="O103" s="3"/>
      <x:c r="P103" s="3"/>
      <x:c r="Q103" s="3"/>
      <x:c r="R103" s="3"/>
      <x:c r="S103" s="3"/>
      <x:c r="T103" s="3"/>
    </x:row>
    <x:row r="104" ht="25" customHeight="1">
      <x:c r="A104" s="2"/>
      <x:c r="B104" s="2"/>
      <x:c r="C104" s="32"/>
      <x:c r="D104" s="3"/>
      <x:c r="E104" s="3"/>
      <x:c r="F104" s="3"/>
      <x:c r="G104" s="3"/>
      <x:c r="H104" s="3"/>
      <x:c r="I104" s="3"/>
      <x:c r="J104" s="3"/>
      <x:c r="K104" s="3"/>
      <x:c r="L104" s="3"/>
      <x:c r="M104" s="3"/>
      <x:c r="N104" s="3"/>
      <x:c r="O104" s="3"/>
      <x:c r="P104" s="3"/>
      <x:c r="Q104" s="3"/>
      <x:c r="R104" s="3"/>
      <x:c r="S104" s="3"/>
      <x:c r="T104" s="3"/>
    </x:row>
    <x:row r="105" ht="25" customHeight="1">
      <x:c r="A105" s="2"/>
      <x:c r="B105" s="2"/>
      <x:c r="C105" s="32"/>
      <x:c r="D105" s="3"/>
      <x:c r="E105" s="3"/>
      <x:c r="F105" s="3"/>
      <x:c r="G105" s="3"/>
      <x:c r="H105" s="3"/>
      <x:c r="I105" s="3"/>
      <x:c r="J105" s="3"/>
      <x:c r="K105" s="3"/>
      <x:c r="L105" s="3"/>
      <x:c r="M105" s="3"/>
      <x:c r="N105" s="3"/>
      <x:c r="O105" s="3"/>
      <x:c r="P105" s="3"/>
      <x:c r="Q105" s="3"/>
      <x:c r="R105" s="3"/>
      <x:c r="S105" s="3"/>
      <x:c r="T105" s="3"/>
    </x:row>
    <x:row r="106" ht="25" customHeight="1">
      <x:c r="A106" s="2"/>
      <x:c r="B106" s="2"/>
      <x:c r="C106" s="32"/>
      <x:c r="D106" s="3"/>
      <x:c r="E106" s="3"/>
      <x:c r="F106" s="3"/>
      <x:c r="G106" s="3"/>
      <x:c r="H106" s="3"/>
      <x:c r="I106" s="3"/>
      <x:c r="J106" s="3"/>
      <x:c r="K106" s="3"/>
      <x:c r="L106" s="3"/>
      <x:c r="M106" s="3"/>
      <x:c r="N106" s="3"/>
      <x:c r="O106" s="3"/>
      <x:c r="P106" s="3"/>
      <x:c r="Q106" s="3"/>
      <x:c r="R106" s="3"/>
      <x:c r="S106" s="3"/>
      <x:c r="T106" s="3"/>
    </x:row>
    <x:row r="107" ht="25" customHeight="1">
      <x:c r="A107" s="2"/>
      <x:c r="B107" s="2"/>
      <x:c r="C107" s="32"/>
      <x:c r="D107" s="3"/>
      <x:c r="E107" s="3"/>
      <x:c r="F107" s="3"/>
      <x:c r="G107" s="3"/>
      <x:c r="H107" s="3"/>
      <x:c r="I107" s="3"/>
      <x:c r="J107" s="3"/>
      <x:c r="K107" s="3"/>
      <x:c r="L107" s="3"/>
      <x:c r="M107" s="3"/>
      <x:c r="N107" s="3"/>
      <x:c r="O107" s="3"/>
      <x:c r="P107" s="3"/>
      <x:c r="Q107" s="3"/>
      <x:c r="R107" s="3"/>
      <x:c r="S107" s="3"/>
      <x:c r="T107" s="3"/>
    </x:row>
    <x:row r="108" ht="25" customHeight="1">
      <x:c r="A108" s="2"/>
      <x:c r="B108" s="2"/>
      <x:c r="C108" s="32"/>
      <x:c r="D108" s="3"/>
      <x:c r="E108" s="3"/>
      <x:c r="F108" s="3"/>
      <x:c r="G108" s="3"/>
      <x:c r="H108" s="3"/>
      <x:c r="I108" s="3"/>
      <x:c r="J108" s="3"/>
      <x:c r="K108" s="3"/>
      <x:c r="L108" s="3"/>
      <x:c r="M108" s="3"/>
      <x:c r="N108" s="3"/>
      <x:c r="O108" s="3"/>
      <x:c r="P108" s="3"/>
      <x:c r="Q108" s="3"/>
      <x:c r="R108" s="3"/>
      <x:c r="S108" s="3"/>
      <x:c r="T108" s="3"/>
    </x:row>
    <x:row r="109" ht="25" customHeight="1">
      <x:c r="A109" s="2"/>
      <x:c r="B109" s="2"/>
      <x:c r="C109" s="32"/>
      <x:c r="D109" s="3"/>
      <x:c r="E109" s="3"/>
      <x:c r="F109" s="3"/>
      <x:c r="G109" s="3"/>
      <x:c r="H109" s="3"/>
      <x:c r="I109" s="3"/>
      <x:c r="J109" s="3"/>
      <x:c r="K109" s="3"/>
      <x:c r="L109" s="3"/>
      <x:c r="M109" s="3"/>
      <x:c r="N109" s="3"/>
      <x:c r="O109" s="3"/>
      <x:c r="P109" s="3"/>
      <x:c r="Q109" s="3"/>
      <x:c r="R109" s="3"/>
      <x:c r="S109" s="3"/>
      <x:c r="T109" s="3"/>
    </x:row>
    <x:row r="110" ht="25" customHeight="1">
      <x:c r="A110" s="2"/>
      <x:c r="B110" s="2"/>
      <x:c r="C110" s="32"/>
      <x:c r="D110" s="3"/>
      <x:c r="E110" s="3"/>
      <x:c r="F110" s="3"/>
      <x:c r="G110" s="3"/>
      <x:c r="H110" s="3"/>
      <x:c r="I110" s="3"/>
      <x:c r="J110" s="3"/>
      <x:c r="K110" s="3"/>
      <x:c r="L110" s="3"/>
      <x:c r="M110" s="3"/>
      <x:c r="N110" s="3"/>
      <x:c r="O110" s="3"/>
      <x:c r="P110" s="3"/>
      <x:c r="Q110" s="3"/>
      <x:c r="R110" s="3"/>
      <x:c r="S110" s="3"/>
      <x:c r="T110" s="3"/>
    </x:row>
    <x:row r="111" ht="25" customHeight="1">
      <x:c r="A111" s="2"/>
      <x:c r="B111" s="2"/>
      <x:c r="C111" s="32"/>
      <x:c r="D111" s="3"/>
      <x:c r="E111" s="3"/>
      <x:c r="F111" s="3"/>
      <x:c r="G111" s="3"/>
      <x:c r="H111" s="3"/>
      <x:c r="I111" s="3"/>
      <x:c r="J111" s="3"/>
      <x:c r="K111" s="3"/>
      <x:c r="L111" s="3"/>
      <x:c r="M111" s="3"/>
      <x:c r="N111" s="3"/>
      <x:c r="O111" s="3"/>
      <x:c r="P111" s="3"/>
      <x:c r="Q111" s="3"/>
      <x:c r="R111" s="3"/>
      <x:c r="S111" s="3"/>
      <x:c r="T111" s="3"/>
    </x:row>
    <x:row r="112" ht="25" customHeight="1">
      <x:c r="A112" s="2"/>
      <x:c r="B112" s="2"/>
      <x:c r="C112" s="32"/>
      <x:c r="D112" s="3"/>
      <x:c r="E112" s="3"/>
      <x:c r="F112" s="3"/>
      <x:c r="G112" s="3"/>
      <x:c r="H112" s="3"/>
      <x:c r="I112" s="3"/>
      <x:c r="J112" s="3"/>
      <x:c r="K112" s="3"/>
      <x:c r="L112" s="3"/>
      <x:c r="M112" s="3"/>
      <x:c r="N112" s="3"/>
      <x:c r="O112" s="3"/>
      <x:c r="P112" s="3"/>
      <x:c r="Q112" s="3"/>
      <x:c r="R112" s="3"/>
      <x:c r="S112" s="3"/>
      <x:c r="T112" s="3"/>
    </x:row>
    <x:row r="113" ht="25" customHeight="1">
      <x:c r="A113" s="2"/>
      <x:c r="B113" s="2"/>
      <x:c r="C113" s="32"/>
      <x:c r="D113" s="3"/>
      <x:c r="E113" s="3"/>
      <x:c r="F113" s="3"/>
      <x:c r="G113" s="3"/>
      <x:c r="H113" s="3"/>
      <x:c r="I113" s="3"/>
      <x:c r="J113" s="3"/>
      <x:c r="K113" s="3"/>
      <x:c r="L113" s="3"/>
      <x:c r="M113" s="3"/>
      <x:c r="N113" s="3"/>
      <x:c r="O113" s="3"/>
      <x:c r="P113" s="3"/>
      <x:c r="Q113" s="3"/>
      <x:c r="R113" s="3"/>
      <x:c r="S113" s="3"/>
      <x:c r="T113" s="3"/>
    </x:row>
    <x:row r="114" ht="25" customHeight="1">
      <x:c r="A114" s="2"/>
      <x:c r="B114" s="2"/>
      <x:c r="C114" s="32"/>
      <x:c r="D114" s="3"/>
      <x:c r="E114" s="3"/>
      <x:c r="F114" s="3"/>
      <x:c r="G114" s="3"/>
      <x:c r="H114" s="3"/>
      <x:c r="I114" s="3"/>
      <x:c r="J114" s="3"/>
      <x:c r="K114" s="3"/>
      <x:c r="L114" s="3"/>
      <x:c r="M114" s="3"/>
      <x:c r="N114" s="3"/>
      <x:c r="O114" s="3"/>
      <x:c r="P114" s="3"/>
      <x:c r="Q114" s="3"/>
      <x:c r="R114" s="3"/>
      <x:c r="S114" s="3"/>
      <x:c r="T114" s="3"/>
    </x:row>
    <x:row r="115" ht="25" customHeight="1">
      <x:c r="A115" s="2"/>
      <x:c r="B115" s="2"/>
      <x:c r="C115" s="32"/>
      <x:c r="D115" s="3"/>
      <x:c r="E115" s="3"/>
      <x:c r="F115" s="3"/>
      <x:c r="G115" s="3"/>
      <x:c r="H115" s="3"/>
      <x:c r="I115" s="3"/>
      <x:c r="J115" s="3"/>
      <x:c r="K115" s="3"/>
      <x:c r="L115" s="3"/>
      <x:c r="M115" s="3"/>
      <x:c r="N115" s="3"/>
      <x:c r="O115" s="3"/>
      <x:c r="P115" s="3"/>
      <x:c r="Q115" s="3"/>
      <x:c r="R115" s="3"/>
      <x:c r="S115" s="3"/>
      <x:c r="T115" s="3"/>
    </x:row>
    <x:row r="116" ht="25" customHeight="1">
      <x:c r="A116" s="2"/>
      <x:c r="B116" s="2"/>
      <x:c r="C116" s="32"/>
      <x:c r="D116" s="3"/>
      <x:c r="E116" s="3"/>
      <x:c r="F116" s="3"/>
      <x:c r="G116" s="3"/>
      <x:c r="H116" s="3"/>
      <x:c r="I116" s="3"/>
      <x:c r="J116" s="3"/>
      <x:c r="K116" s="3"/>
      <x:c r="L116" s="3"/>
      <x:c r="M116" s="3"/>
      <x:c r="N116" s="3"/>
      <x:c r="O116" s="3"/>
      <x:c r="P116" s="3"/>
      <x:c r="Q116" s="3"/>
      <x:c r="R116" s="3"/>
      <x:c r="S116" s="3"/>
      <x:c r="T116" s="3"/>
    </x:row>
    <x:row r="117" ht="25" customHeight="1">
      <x:c r="A117" s="2"/>
      <x:c r="B117" s="2"/>
      <x:c r="C117" s="32"/>
      <x:c r="D117" s="3"/>
      <x:c r="E117" s="3"/>
      <x:c r="F117" s="3"/>
      <x:c r="G117" s="3"/>
      <x:c r="H117" s="3"/>
      <x:c r="I117" s="3"/>
      <x:c r="J117" s="3"/>
      <x:c r="K117" s="3"/>
      <x:c r="L117" s="3"/>
      <x:c r="M117" s="3"/>
      <x:c r="N117" s="3"/>
      <x:c r="O117" s="3"/>
      <x:c r="P117" s="3"/>
      <x:c r="Q117" s="3"/>
      <x:c r="R117" s="3"/>
      <x:c r="S117" s="3"/>
      <x:c r="T117" s="3"/>
    </x:row>
    <x:row r="118" ht="25" customHeight="1">
      <x:c r="A118" s="2"/>
      <x:c r="B118" s="2"/>
      <x:c r="C118" s="32"/>
      <x:c r="D118" s="3"/>
      <x:c r="E118" s="3"/>
      <x:c r="F118" s="3"/>
      <x:c r="G118" s="3"/>
      <x:c r="H118" s="3"/>
      <x:c r="I118" s="3"/>
      <x:c r="J118" s="3"/>
      <x:c r="K118" s="3"/>
      <x:c r="L118" s="3"/>
      <x:c r="M118" s="3"/>
      <x:c r="N118" s="3"/>
      <x:c r="O118" s="3"/>
      <x:c r="P118" s="3"/>
      <x:c r="Q118" s="3"/>
      <x:c r="R118" s="3"/>
      <x:c r="S118" s="3"/>
      <x:c r="T118" s="3"/>
    </x:row>
    <x:row r="119" ht="25" customHeight="1">
      <x:c r="A119" s="2"/>
      <x:c r="B119" s="2"/>
      <x:c r="C119" s="32"/>
      <x:c r="D119" s="3"/>
      <x:c r="E119" s="3"/>
      <x:c r="F119" s="3"/>
      <x:c r="G119" s="3"/>
      <x:c r="H119" s="3"/>
      <x:c r="I119" s="3"/>
      <x:c r="J119" s="3"/>
      <x:c r="K119" s="3"/>
      <x:c r="L119" s="3"/>
      <x:c r="M119" s="3"/>
      <x:c r="N119" s="3"/>
      <x:c r="O119" s="3"/>
      <x:c r="P119" s="3"/>
      <x:c r="Q119" s="3"/>
      <x:c r="R119" s="3"/>
      <x:c r="S119" s="3"/>
      <x:c r="T119" s="3"/>
    </x:row>
    <x:row r="120" ht="25" customHeight="1">
      <x:c r="A120" s="2"/>
      <x:c r="B120" s="2"/>
      <x:c r="C120" s="32"/>
      <x:c r="D120" s="3"/>
      <x:c r="E120" s="3"/>
      <x:c r="F120" s="3"/>
      <x:c r="G120" s="3"/>
      <x:c r="H120" s="3"/>
      <x:c r="I120" s="3"/>
      <x:c r="J120" s="3"/>
      <x:c r="K120" s="3"/>
      <x:c r="L120" s="3"/>
      <x:c r="M120" s="3"/>
      <x:c r="N120" s="3"/>
      <x:c r="O120" s="3"/>
      <x:c r="P120" s="3"/>
      <x:c r="Q120" s="3"/>
      <x:c r="R120" s="3"/>
      <x:c r="S120" s="3"/>
      <x:c r="T120" s="3"/>
    </x:row>
  </x:sheetData>
  <x:mergeCells>
    <x:mergeCell ref="C2:T2"/>
    <x:mergeCell ref="C26:L26"/>
  </x:mergeCells>
  <x:conditionalFormatting sqref="D7:T22">
    <x:cfRule type="cellIs" dxfId="0" priority="1" operator="notBetween">
      <x:formula>-0.01</x:formula>
      <x:formula>0.01</x:formula>
    </x:cfRule>
  </x:conditionalFormatting>
  <x:pageMargins left="0.7" right="0.7" top="0.75" bottom="0.75" header="0.3" footer="0.3"/>
</x:worksheet>
</file>

<file path=xl/worksheets/sheet11.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2" hidden="0" customWidth="1"/>
    <x:col min="2" max="2" width="2" hidden="0" customWidth="1"/>
    <x:col min="3" max="3" width="48"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s>
  <x:sheetData>
    <x:row r="1" ht="25" customHeight="1">
      <x:c r="A1" s="2"/>
      <x:c r="B1" s="2"/>
      <x:c r="C1" s="2"/>
      <x:c r="D1" s="3"/>
      <x:c r="E1" s="3"/>
      <x:c r="F1" s="3"/>
      <x:c r="G1" s="3"/>
      <x:c r="H1" s="3"/>
      <x:c r="I1" s="3"/>
      <x:c r="J1" s="3"/>
      <x:c r="K1" s="3"/>
      <x:c r="L1" s="3"/>
    </x:row>
    <x:row r="2" ht="34" customHeight="1">
      <x:c r="A2" s="2"/>
      <x:c r="B2" s="2"/>
      <x:c r="C2" s="4" t="str">
        <x:v>Evidence, assumptions and measurement plan</x:v>
      </x:c>
      <x:c r="D2" s="3"/>
      <x:c r="E2" s="3"/>
      <x:c r="F2" s="3"/>
      <x:c r="G2" s="3"/>
      <x:c r="H2" s="3"/>
      <x:c r="I2" s="3"/>
      <x:c r="J2" s="3"/>
      <x:c r="K2" s="3"/>
      <x:c r="L2" s="3"/>
    </x:row>
    <x:row r="3" ht="25" customHeight="1">
      <x:c r="A3" s="2"/>
      <x:c r="B3" s="2"/>
      <x:c r="C3" s="2" t="str">
        <x:v>Selected case</x:v>
      </x:c>
      <x:c r="D3" s="52" t="str">
        <x:f>'Inputs'!$E$3</x:f>
        <x:v>Base</x:v>
      </x:c>
      <x:c r="E3" s="3"/>
      <x:c r="F3" s="3"/>
      <x:c r="G3" s="3"/>
      <x:c r="H3" s="3"/>
      <x:c r="I3" s="3"/>
      <x:c r="J3" s="3"/>
      <x:c r="K3" s="3"/>
      <x:c r="L3" s="3"/>
    </x:row>
    <x:row r="4" ht="25" customHeight="1">
      <x:c r="A4" s="2"/>
      <x:c r="B4" s="2"/>
      <x:c r="C4" s="2"/>
      <x:c r="D4" s="3"/>
      <x:c r="E4" s="3"/>
      <x:c r="F4" s="3"/>
      <x:c r="G4" s="3"/>
      <x:c r="H4" s="3"/>
      <x:c r="I4" s="3"/>
      <x:c r="J4" s="3"/>
      <x:c r="K4" s="3"/>
      <x:c r="L4" s="3"/>
    </x:row>
    <x:row r="5" ht="25" customHeight="1">
      <x:c r="A5" s="2"/>
      <x:c r="B5" s="2"/>
      <x:c r="C5" s="2"/>
      <x:c r="D5" s="3"/>
      <x:c r="E5" s="3"/>
      <x:c r="F5" s="3"/>
      <x:c r="G5" s="3"/>
      <x:c r="H5" s="3"/>
      <x:c r="I5" s="3"/>
      <x:c r="J5" s="3"/>
      <x:c r="K5" s="3"/>
      <x:c r="L5" s="3"/>
    </x:row>
    <x:row r="6" ht="25" customHeight="1">
      <x:c r="A6" s="2"/>
      <x:c r="B6" s="2"/>
      <x:c r="C6" s="32"/>
      <x:c r="D6" s="3"/>
      <x:c r="E6" s="3"/>
      <x:c r="F6" s="3"/>
      <x:c r="G6" s="3"/>
      <x:c r="H6" s="3"/>
      <x:c r="I6" s="3"/>
      <x:c r="J6" s="3"/>
      <x:c r="K6" s="3"/>
      <x:c r="L6" s="3"/>
    </x:row>
    <x:row r="7" ht="27" customHeight="1">
      <x:c r="A7" s="2"/>
      <x:c r="B7" s="2"/>
      <x:c r="C7" s="61" t="str">
        <x:v>Observed sources. Accessed 14 September 2026</x:v>
      </x:c>
      <x:c r="D7" s="15"/>
      <x:c r="E7" s="15"/>
      <x:c r="F7" s="15"/>
      <x:c r="G7" s="15"/>
      <x:c r="H7" s="15"/>
      <x:c r="I7" s="15"/>
      <x:c r="J7" s="15"/>
      <x:c r="K7" s="15"/>
      <x:c r="L7" s="15"/>
    </x:row>
    <x:row r="8" ht="25" customHeight="1">
      <x:c r="A8" s="2"/>
      <x:c r="B8" s="2"/>
      <x:c r="C8" s="32"/>
      <x:c r="D8" s="3"/>
      <x:c r="E8" s="3"/>
      <x:c r="F8" s="3"/>
      <x:c r="G8" s="3"/>
      <x:c r="H8" s="3"/>
      <x:c r="I8" s="3"/>
      <x:c r="J8" s="3"/>
      <x:c r="K8" s="3"/>
      <x:c r="L8" s="3"/>
    </x:row>
    <x:row r="9" ht="25" customHeight="1">
      <x:c r="A9" s="2"/>
      <x:c r="B9" s="2"/>
      <x:c r="C9" s="64" t="str">
        <x:v>S1 · Anthropic pricing</x:v>
      </x:c>
      <x:c r="D9" s="33" t="str">
        <x:v>Haiku 4.5 $1/$5; Sonnet 5 $2/$10; Opus 5 $5/$25 per million input/output tokens. Regional partner premium 10%.</x:v>
      </x:c>
      <x:c r="E9" s="33"/>
      <x:c r="F9" s="33"/>
      <x:c r="G9" s="33"/>
      <x:c r="H9" s="33"/>
      <x:c r="I9" s="33"/>
      <x:c r="J9" s="33"/>
      <x:c r="K9" s="33"/>
      <x:c r="L9" s="33"/>
    </x:row>
    <x:row r="10" ht="25" customHeight="1">
      <x:c r="A10" s="2"/>
      <x:c r="B10" s="2"/>
      <x:c r="C10" s="64"/>
      <x:c r="D10" s="33"/>
      <x:c r="E10" s="33"/>
      <x:c r="F10" s="33"/>
      <x:c r="G10" s="33"/>
      <x:c r="H10" s="33"/>
      <x:c r="I10" s="33"/>
      <x:c r="J10" s="33"/>
      <x:c r="K10" s="33"/>
      <x:c r="L10" s="33"/>
    </x:row>
    <x:row r="11" ht="30" customHeight="1">
      <x:c r="A11" s="2"/>
      <x:c r="B11" s="2"/>
      <x:c r="C11" s="64"/>
      <x:c r="D11" s="50" t="str">
        <x:v>https://platform.claude.com/docs/en/about-claude/pricing</x:v>
      </x:c>
      <x:c r="E11" s="50"/>
      <x:c r="F11" s="50"/>
      <x:c r="G11" s="50"/>
      <x:c r="H11" s="50"/>
      <x:c r="I11" s="50"/>
      <x:c r="J11" s="50"/>
      <x:c r="K11" s="50"/>
      <x:c r="L11" s="50"/>
    </x:row>
    <x:row r="12" ht="25" customHeight="1">
      <x:c r="A12" s="2"/>
      <x:c r="B12" s="2"/>
      <x:c r="C12" s="64" t="str">
        <x:v>S2 · Google Gemini pricing</x:v>
      </x:c>
      <x:c r="D12" s="33" t="str">
        <x:v>Embedding/file-search reference $0.15 per million tokens. Exact deployment and regional endpoint to be selected.</x:v>
      </x:c>
      <x:c r="E12" s="33"/>
      <x:c r="F12" s="33"/>
      <x:c r="G12" s="33"/>
      <x:c r="H12" s="33"/>
      <x:c r="I12" s="33"/>
      <x:c r="J12" s="33"/>
      <x:c r="K12" s="33"/>
      <x:c r="L12" s="33"/>
    </x:row>
    <x:row r="13" ht="25" customHeight="1">
      <x:c r="A13" s="2"/>
      <x:c r="B13" s="2"/>
      <x:c r="C13" s="64"/>
      <x:c r="D13" s="33"/>
      <x:c r="E13" s="33"/>
      <x:c r="F13" s="33"/>
      <x:c r="G13" s="33"/>
      <x:c r="H13" s="33"/>
      <x:c r="I13" s="33"/>
      <x:c r="J13" s="33"/>
      <x:c r="K13" s="33"/>
      <x:c r="L13" s="33"/>
    </x:row>
    <x:row r="14" ht="30" customHeight="1">
      <x:c r="A14" s="2"/>
      <x:c r="B14" s="2"/>
      <x:c r="C14" s="64"/>
      <x:c r="D14" s="50" t="str">
        <x:v>https://ai.google.dev/gemini-api/docs/pricing</x:v>
      </x:c>
      <x:c r="E14" s="50"/>
      <x:c r="F14" s="50"/>
      <x:c r="G14" s="50"/>
      <x:c r="H14" s="50"/>
      <x:c r="I14" s="50"/>
      <x:c r="J14" s="50"/>
      <x:c r="K14" s="50"/>
      <x:c r="L14" s="50"/>
    </x:row>
    <x:row r="15" ht="25" customHeight="1">
      <x:c r="A15" s="2"/>
      <x:c r="B15" s="2"/>
      <x:c r="C15" s="64" t="str">
        <x:v>S3 · AssemblyAI pricing</x:v>
      </x:c>
      <x:c r="D15" s="33" t="str">
        <x:v>Universal-2 prerecorded transcription $0.15/audio hour. Voice rendering is outside this text-first interview budget.</x:v>
      </x:c>
      <x:c r="E15" s="33"/>
      <x:c r="F15" s="33"/>
      <x:c r="G15" s="33"/>
      <x:c r="H15" s="33"/>
      <x:c r="I15" s="33"/>
      <x:c r="J15" s="33"/>
      <x:c r="K15" s="33"/>
      <x:c r="L15" s="33"/>
    </x:row>
    <x:row r="16" ht="25" customHeight="1">
      <x:c r="A16" s="2"/>
      <x:c r="B16" s="2"/>
      <x:c r="C16" s="64"/>
      <x:c r="D16" s="33"/>
      <x:c r="E16" s="33"/>
      <x:c r="F16" s="33"/>
      <x:c r="G16" s="33"/>
      <x:c r="H16" s="33"/>
      <x:c r="I16" s="33"/>
      <x:c r="J16" s="33"/>
      <x:c r="K16" s="33"/>
      <x:c r="L16" s="33"/>
    </x:row>
    <x:row r="17" ht="30" customHeight="1">
      <x:c r="A17" s="2"/>
      <x:c r="B17" s="2"/>
      <x:c r="C17" s="64"/>
      <x:c r="D17" s="50" t="str">
        <x:v>https://www.assemblyai.com/pricing</x:v>
      </x:c>
      <x:c r="E17" s="50"/>
      <x:c r="F17" s="50"/>
      <x:c r="G17" s="50"/>
      <x:c r="H17" s="50"/>
      <x:c r="I17" s="50"/>
      <x:c r="J17" s="50"/>
      <x:c r="K17" s="50"/>
      <x:c r="L17" s="50"/>
    </x:row>
    <x:row r="18" ht="25" customHeight="1">
      <x:c r="A18" s="2"/>
      <x:c r="B18" s="2"/>
      <x:c r="C18" s="64" t="str">
        <x:v>S4 · Lambda GPU pricing</x:v>
      </x:c>
      <x:c r="D18" s="33" t="str">
        <x:v>H100 SXM single GPU $4.29/hour; A10 $1.29/hour. Reference rates before taxes. Region and availability affect procurement.</x:v>
      </x:c>
      <x:c r="E18" s="33"/>
      <x:c r="F18" s="33"/>
      <x:c r="G18" s="33"/>
      <x:c r="H18" s="33"/>
      <x:c r="I18" s="33"/>
      <x:c r="J18" s="33"/>
      <x:c r="K18" s="33"/>
      <x:c r="L18" s="33"/>
    </x:row>
    <x:row r="19" ht="25" customHeight="1">
      <x:c r="A19" s="2"/>
      <x:c r="B19" s="2"/>
      <x:c r="C19" s="64"/>
      <x:c r="D19" s="33"/>
      <x:c r="E19" s="33"/>
      <x:c r="F19" s="33"/>
      <x:c r="G19" s="33"/>
      <x:c r="H19" s="33"/>
      <x:c r="I19" s="33"/>
      <x:c r="J19" s="33"/>
      <x:c r="K19" s="33"/>
      <x:c r="L19" s="33"/>
    </x:row>
    <x:row r="20" ht="30" customHeight="1">
      <x:c r="A20" s="2"/>
      <x:c r="B20" s="2"/>
      <x:c r="C20" s="64"/>
      <x:c r="D20" s="50" t="str">
        <x:v>https://lambda.ai/pricing</x:v>
      </x:c>
      <x:c r="E20" s="50"/>
      <x:c r="F20" s="50"/>
      <x:c r="G20" s="50"/>
      <x:c r="H20" s="50"/>
      <x:c r="I20" s="50"/>
      <x:c r="J20" s="50"/>
      <x:c r="K20" s="50"/>
      <x:c r="L20" s="50"/>
    </x:row>
    <x:row r="21" ht="25" customHeight="1">
      <x:c r="A21" s="2"/>
      <x:c r="B21" s="2"/>
      <x:c r="C21" s="64" t="str">
        <x:v>S5 · Hugging Face PEFT</x:v>
      </x:c>
      <x:c r="D21" s="33" t="str">
        <x:v>Adapter tuning updates a small parameter subset; used as architectural reference. It is not a guarantee of Uniio quality or throughput.</x:v>
      </x:c>
      <x:c r="E21" s="33"/>
      <x:c r="F21" s="33"/>
      <x:c r="G21" s="33"/>
      <x:c r="H21" s="33"/>
      <x:c r="I21" s="33"/>
      <x:c r="J21" s="33"/>
      <x:c r="K21" s="33"/>
      <x:c r="L21" s="33"/>
    </x:row>
    <x:row r="22" ht="25" customHeight="1">
      <x:c r="A22" s="2"/>
      <x:c r="B22" s="2"/>
      <x:c r="C22" s="64"/>
      <x:c r="D22" s="33"/>
      <x:c r="E22" s="33"/>
      <x:c r="F22" s="33"/>
      <x:c r="G22" s="33"/>
      <x:c r="H22" s="33"/>
      <x:c r="I22" s="33"/>
      <x:c r="J22" s="33"/>
      <x:c r="K22" s="33"/>
      <x:c r="L22" s="33"/>
    </x:row>
    <x:row r="23" ht="30" customHeight="1">
      <x:c r="A23" s="2"/>
      <x:c r="B23" s="2"/>
      <x:c r="C23" s="64"/>
      <x:c r="D23" s="50" t="str">
        <x:v>https://huggingface.co/docs/peft/index</x:v>
      </x:c>
      <x:c r="E23" s="50"/>
      <x:c r="F23" s="50"/>
      <x:c r="G23" s="50"/>
      <x:c r="H23" s="50"/>
      <x:c r="I23" s="50"/>
      <x:c r="J23" s="50"/>
      <x:c r="K23" s="50"/>
      <x:c r="L23" s="50"/>
    </x:row>
    <x:row r="24" ht="25" customHeight="1">
      <x:c r="A24" s="2"/>
      <x:c r="B24" s="2"/>
      <x:c r="C24" s="64" t="str">
        <x:v>S6 · Bridge Group 2026 SaaS AE benchmarks</x:v>
      </x:c>
      <x:c r="D24" s="33" t="str">
        <x:v>Median annual quota $960k; median OTE $200k; median ramp 6.2 months; 48% of AEs at quota. Broad US benchmark. Uniio assumptions remain editable.</x:v>
      </x:c>
      <x:c r="E24" s="33"/>
      <x:c r="F24" s="33"/>
      <x:c r="G24" s="33"/>
      <x:c r="H24" s="33"/>
      <x:c r="I24" s="33"/>
      <x:c r="J24" s="33"/>
      <x:c r="K24" s="33"/>
      <x:c r="L24" s="33"/>
    </x:row>
    <x:row r="25" ht="25" customHeight="1">
      <x:c r="A25" s="2"/>
      <x:c r="B25" s="2"/>
      <x:c r="C25" s="64"/>
      <x:c r="D25" s="33"/>
      <x:c r="E25" s="33"/>
      <x:c r="F25" s="33"/>
      <x:c r="G25" s="33"/>
      <x:c r="H25" s="33"/>
      <x:c r="I25" s="33"/>
      <x:c r="J25" s="33"/>
      <x:c r="K25" s="33"/>
      <x:c r="L25" s="33"/>
    </x:row>
    <x:row r="26" ht="30" customHeight="1">
      <x:c r="A26" s="2"/>
      <x:c r="B26" s="2"/>
      <x:c r="C26" s="64"/>
      <x:c r="D26" s="50" t="str">
        <x:v>https://blog.bridgegroupinc.com/2026-saas-ae-metrics-benchmarks</x:v>
      </x:c>
      <x:c r="E26" s="50"/>
      <x:c r="F26" s="50"/>
      <x:c r="G26" s="50"/>
      <x:c r="H26" s="50"/>
      <x:c r="I26" s="50"/>
      <x:c r="J26" s="50"/>
      <x:c r="K26" s="50"/>
      <x:c r="L26" s="50"/>
    </x:row>
    <x:row r="27" ht="25" customHeight="1">
      <x:c r="A27" s="2"/>
      <x:c r="B27" s="2"/>
      <x:c r="C27" s="64" t="str">
        <x:v>S7 · Prior Uniio model</x:v>
      </x:c>
      <x:c r="D27" s="33" t="str">
        <x:v>v1.0 used a narrower enterprise starting point, 10% churn and EUR 1m first funding. The current model supersedes that customer-size assumption with a 100+ employee ICP and replaces its old per-seat cloud allowance.</x:v>
      </x:c>
      <x:c r="E27" s="33"/>
      <x:c r="F27" s="33"/>
      <x:c r="G27" s="33"/>
      <x:c r="H27" s="33"/>
      <x:c r="I27" s="33"/>
      <x:c r="J27" s="33"/>
      <x:c r="K27" s="33"/>
      <x:c r="L27" s="33"/>
    </x:row>
    <x:row r="28" ht="25" customHeight="1">
      <x:c r="A28" s="2"/>
      <x:c r="B28" s="2"/>
      <x:c r="C28" s="64"/>
      <x:c r="D28" s="33"/>
      <x:c r="E28" s="33"/>
      <x:c r="F28" s="33"/>
      <x:c r="G28" s="33"/>
      <x:c r="H28" s="33"/>
      <x:c r="I28" s="33"/>
      <x:c r="J28" s="33"/>
      <x:c r="K28" s="33"/>
      <x:c r="L28" s="33"/>
    </x:row>
    <x:row r="29" ht="30" customHeight="1">
      <x:c r="A29" s="2"/>
      <x:c r="B29" s="2"/>
      <x:c r="C29" s="64"/>
      <x:c r="D29" s="50" t="str">
        <x:v>Uniio_Financials_2026_2030_v1.0.xlsx</x:v>
      </x:c>
      <x:c r="E29" s="50"/>
      <x:c r="F29" s="50"/>
      <x:c r="G29" s="50"/>
      <x:c r="H29" s="50"/>
      <x:c r="I29" s="50"/>
      <x:c r="J29" s="50"/>
      <x:c r="K29" s="50"/>
      <x:c r="L29" s="50"/>
    </x:row>
    <x:row r="30" ht="25" customHeight="1">
      <x:c r="A30" s="2"/>
      <x:c r="B30" s="2"/>
      <x:c r="C30" s="64" t="str">
        <x:v>S8 · Management planning decisions</x:v>
      </x:c>
      <x:c r="D30" s="33" t="str">
        <x:v>Current investor base: 100+ employee ICP; five Q4 2026 design-partner signatures; 25/97/432/1,292 platform customers; marginal mapping prices with 50% and 25% launch discounts; EUR 1m pre-seed.</x:v>
      </x:c>
      <x:c r="E30" s="33"/>
      <x:c r="F30" s="33"/>
      <x:c r="G30" s="33"/>
      <x:c r="H30" s="33"/>
      <x:c r="I30" s="33"/>
      <x:c r="J30" s="33"/>
      <x:c r="K30" s="33"/>
      <x:c r="L30" s="33"/>
    </x:row>
    <x:row r="31" ht="25" customHeight="1">
      <x:c r="A31" s="2"/>
      <x:c r="B31" s="2"/>
      <x:c r="C31" s="64"/>
      <x:c r="D31" s="33"/>
      <x:c r="E31" s="33"/>
      <x:c r="F31" s="33"/>
      <x:c r="G31" s="33"/>
      <x:c r="H31" s="33"/>
      <x:c r="I31" s="33"/>
      <x:c r="J31" s="33"/>
      <x:c r="K31" s="33"/>
      <x:c r="L31" s="33"/>
    </x:row>
    <x:row r="32" ht="30" customHeight="1">
      <x:c r="A32" s="2"/>
      <x:c r="B32" s="2"/>
      <x:c r="C32" s="64"/>
      <x:c r="D32" s="50" t="str">
        <x:v>David Beckmann, current conversation</x:v>
      </x:c>
      <x:c r="E32" s="50"/>
      <x:c r="F32" s="50"/>
      <x:c r="G32" s="50"/>
      <x:c r="H32" s="50"/>
      <x:c r="I32" s="50"/>
      <x:c r="J32" s="50"/>
      <x:c r="K32" s="50"/>
      <x:c r="L32" s="50"/>
    </x:row>
    <x:row r="33" ht="25" customHeight="1">
      <x:c r="A33" s="2"/>
      <x:c r="B33" s="2"/>
      <x:c r="C33" s="64"/>
      <x:c r="D33" s="3"/>
      <x:c r="E33" s="3"/>
      <x:c r="F33" s="3"/>
      <x:c r="G33" s="3"/>
      <x:c r="H33" s="3"/>
      <x:c r="I33" s="3"/>
      <x:c r="J33" s="3"/>
      <x:c r="K33" s="3"/>
      <x:c r="L33" s="3"/>
    </x:row>
    <x:row r="34" ht="25" customHeight="1">
      <x:c r="A34" s="2"/>
      <x:c r="B34" s="2"/>
      <x:c r="C34" s="64"/>
      <x:c r="D34" s="3"/>
      <x:c r="E34" s="3"/>
      <x:c r="F34" s="3"/>
      <x:c r="G34" s="3"/>
      <x:c r="H34" s="3"/>
      <x:c r="I34" s="3"/>
      <x:c r="J34" s="3"/>
      <x:c r="K34" s="3"/>
      <x:c r="L34" s="3"/>
    </x:row>
    <x:row r="35" ht="27" customHeight="1">
      <x:c r="A35" s="2"/>
      <x:c r="B35" s="2"/>
      <x:c r="C35" s="61" t="str">
        <x:v>What must be measured before using this as an investor forecast</x:v>
      </x:c>
      <x:c r="D35" s="15"/>
      <x:c r="E35" s="15"/>
      <x:c r="F35" s="15"/>
      <x:c r="G35" s="15"/>
      <x:c r="H35" s="15"/>
      <x:c r="I35" s="15"/>
      <x:c r="J35" s="15"/>
      <x:c r="K35" s="15"/>
      <x:c r="L35" s="15"/>
    </x:row>
    <x:row r="36" ht="25" customHeight="1">
      <x:c r="A36" s="2"/>
      <x:c r="B36" s="2"/>
      <x:c r="C36" s="64"/>
      <x:c r="D36" s="3"/>
      <x:c r="E36" s="3"/>
      <x:c r="F36" s="3"/>
      <x:c r="G36" s="3"/>
      <x:c r="H36" s="3"/>
      <x:c r="I36" s="3"/>
      <x:c r="J36" s="3"/>
      <x:c r="K36" s="3"/>
      <x:c r="L36" s="3"/>
    </x:row>
    <x:row r="37" ht="25" customHeight="1">
      <x:c r="A37" s="2"/>
      <x:c r="B37" s="2"/>
      <x:c r="C37" s="64" t="str">
        <x:v>Mapping price validation</x:v>
      </x:c>
      <x:c r="D37" s="51" t="str">
        <x:v>Full-price mapping for 100 employees is DKK 199,900, plus the annual platform fee. Test willingness to pay and procurement time at this first-year contract size before treating the scale plan as an investor base case.</x:v>
      </x:c>
      <x:c r="E37" s="51"/>
      <x:c r="F37" s="51"/>
      <x:c r="G37" s="51"/>
      <x:c r="H37" s="51"/>
      <x:c r="I37" s="51"/>
      <x:c r="J37" s="51"/>
      <x:c r="K37" s="51"/>
      <x:c r="L37" s="51"/>
    </x:row>
    <x:row r="38" ht="25" customHeight="1">
      <x:c r="A38" s="2"/>
      <x:c r="B38" s="2"/>
      <x:c r="C38" s="64"/>
      <x:c r="D38" s="51"/>
      <x:c r="E38" s="51"/>
      <x:c r="F38" s="51"/>
      <x:c r="G38" s="51"/>
      <x:c r="H38" s="51"/>
      <x:c r="I38" s="51"/>
      <x:c r="J38" s="51"/>
      <x:c r="K38" s="51"/>
      <x:c r="L38" s="51"/>
    </x:row>
    <x:row r="39" ht="25" customHeight="1">
      <x:c r="A39" s="2"/>
      <x:c r="B39" s="2"/>
      <x:c r="C39" s="64"/>
      <x:c r="D39" s="51"/>
      <x:c r="E39" s="51"/>
      <x:c r="F39" s="51"/>
      <x:c r="G39" s="51"/>
      <x:c r="H39" s="51"/>
      <x:c r="I39" s="51"/>
      <x:c r="J39" s="51"/>
      <x:c r="K39" s="51"/>
      <x:c r="L39" s="51"/>
    </x:row>
    <x:row r="40" ht="25" customHeight="1">
      <x:c r="A40" s="2"/>
      <x:c r="B40" s="2"/>
      <x:c r="C40" s="64" t="str">
        <x:v>Mapping</x:v>
      </x:c>
      <x:c r="D40" s="51" t="str">
        <x:v>Run 30–50 diverse employees through full interviews, source ingestion, correction and review. Record paid tokens, calls, retries, audio, GPU hours and human exception time. Report median and P90 cost.</x:v>
      </x:c>
      <x:c r="E40" s="51"/>
      <x:c r="F40" s="51"/>
      <x:c r="G40" s="51"/>
      <x:c r="H40" s="51"/>
      <x:c r="I40" s="51"/>
      <x:c r="J40" s="51"/>
      <x:c r="K40" s="51"/>
      <x:c r="L40" s="51"/>
    </x:row>
    <x:row r="41" ht="25" customHeight="1">
      <x:c r="A41" s="2"/>
      <x:c r="B41" s="2"/>
      <x:c r="C41" s="64"/>
      <x:c r="D41" s="51"/>
      <x:c r="E41" s="51"/>
      <x:c r="F41" s="51"/>
      <x:c r="G41" s="51"/>
      <x:c r="H41" s="51"/>
      <x:c r="I41" s="51"/>
      <x:c r="J41" s="51"/>
      <x:c r="K41" s="51"/>
      <x:c r="L41" s="51"/>
    </x:row>
    <x:row r="42" ht="25" customHeight="1">
      <x:c r="A42" s="2"/>
      <x:c r="B42" s="2"/>
      <x:c r="C42" s="64"/>
      <x:c r="D42" s="51"/>
      <x:c r="E42" s="51"/>
      <x:c r="F42" s="51"/>
      <x:c r="G42" s="51"/>
      <x:c r="H42" s="51"/>
      <x:c r="I42" s="51"/>
      <x:c r="J42" s="51"/>
      <x:c r="K42" s="51"/>
      <x:c r="L42" s="51"/>
    </x:row>
    <x:row r="43" ht="25" customHeight="1">
      <x:c r="A43" s="2"/>
      <x:c r="B43" s="2"/>
      <x:c r="C43" s="64" t="str">
        <x:v>Local runtime</x:v>
      </x:c>
      <x:c r="D43" s="51" t="str">
        <x:v>Benchmark the chosen licensed model on the intended hardware. Measure prefill, generation, concurrency, idle time, reliability and update effort. Compare full cost with managed APIs.</x:v>
      </x:c>
      <x:c r="E43" s="51"/>
      <x:c r="F43" s="51"/>
      <x:c r="G43" s="51"/>
      <x:c r="H43" s="51"/>
      <x:c r="I43" s="51"/>
      <x:c r="J43" s="51"/>
      <x:c r="K43" s="51"/>
      <x:c r="L43" s="51"/>
    </x:row>
    <x:row r="44" ht="25" customHeight="1">
      <x:c r="A44" s="2"/>
      <x:c r="B44" s="2"/>
      <x:c r="C44" s="64"/>
      <x:c r="D44" s="51"/>
      <x:c r="E44" s="51"/>
      <x:c r="F44" s="51"/>
      <x:c r="G44" s="51"/>
      <x:c r="H44" s="51"/>
      <x:c r="I44" s="51"/>
      <x:c r="J44" s="51"/>
      <x:c r="K44" s="51"/>
      <x:c r="L44" s="51"/>
    </x:row>
    <x:row r="45" ht="25" customHeight="1">
      <x:c r="A45" s="2"/>
      <x:c r="B45" s="2"/>
      <x:c r="C45" s="64"/>
      <x:c r="D45" s="51"/>
      <x:c r="E45" s="51"/>
      <x:c r="F45" s="51"/>
      <x:c r="G45" s="51"/>
      <x:c r="H45" s="51"/>
      <x:c r="I45" s="51"/>
      <x:c r="J45" s="51"/>
      <x:c r="K45" s="51"/>
      <x:c r="L45" s="51"/>
    </x:row>
    <x:row r="46" ht="25" customHeight="1">
      <x:c r="A46" s="2"/>
      <x:c r="B46" s="2"/>
      <x:c r="C46" s="64" t="str">
        <x:v>First five customers</x:v>
      </x:c>
      <x:c r="D46" s="51" t="str">
        <x:v>Confirm budget holder, contract price, procurement time, security requirements, implementation effort and employee review completion across the entire organisation.</x:v>
      </x:c>
      <x:c r="E46" s="51"/>
      <x:c r="F46" s="51"/>
      <x:c r="G46" s="51"/>
      <x:c r="H46" s="51"/>
      <x:c r="I46" s="51"/>
      <x:c r="J46" s="51"/>
      <x:c r="K46" s="51"/>
      <x:c r="L46" s="51"/>
    </x:row>
    <x:row r="47" ht="25" customHeight="1">
      <x:c r="A47" s="2"/>
      <x:c r="B47" s="2"/>
      <x:c r="C47" s="64"/>
      <x:c r="D47" s="51"/>
      <x:c r="E47" s="51"/>
      <x:c r="F47" s="51"/>
      <x:c r="G47" s="51"/>
      <x:c r="H47" s="51"/>
      <x:c r="I47" s="51"/>
      <x:c r="J47" s="51"/>
      <x:c r="K47" s="51"/>
      <x:c r="L47" s="51"/>
    </x:row>
    <x:row r="48" ht="25" customHeight="1">
      <x:c r="A48" s="2"/>
      <x:c r="B48" s="2"/>
      <x:c r="C48" s="64"/>
      <x:c r="D48" s="51"/>
      <x:c r="E48" s="51"/>
      <x:c r="F48" s="51"/>
      <x:c r="G48" s="51"/>
      <x:c r="H48" s="51"/>
      <x:c r="I48" s="51"/>
      <x:c r="J48" s="51"/>
      <x:c r="K48" s="51"/>
      <x:c r="L48" s="51"/>
    </x:row>
    <x:row r="49" ht="25" customHeight="1">
      <x:c r="A49" s="2"/>
      <x:c r="B49" s="2"/>
      <x:c r="C49" s="64" t="str">
        <x:v>Sales repeatability</x:v>
      </x:c>
      <x:c r="D49" s="51" t="str">
        <x:v>Measure qualified opportunity win rate and sales-cycle length. Hire ahead of a measured pipeline; the 1,000-customer ambition needs sellers and partners with demonstrable output.</x:v>
      </x:c>
      <x:c r="E49" s="51"/>
      <x:c r="F49" s="51"/>
      <x:c r="G49" s="51"/>
      <x:c r="H49" s="51"/>
      <x:c r="I49" s="51"/>
      <x:c r="J49" s="51"/>
      <x:c r="K49" s="51"/>
      <x:c r="L49" s="51"/>
    </x:row>
    <x:row r="50" ht="25" customHeight="1">
      <x:c r="A50" s="2"/>
      <x:c r="B50" s="2"/>
      <x:c r="C50" s="64"/>
      <x:c r="D50" s="51"/>
      <x:c r="E50" s="51"/>
      <x:c r="F50" s="51"/>
      <x:c r="G50" s="51"/>
      <x:c r="H50" s="51"/>
      <x:c r="I50" s="51"/>
      <x:c r="J50" s="51"/>
      <x:c r="K50" s="51"/>
      <x:c r="L50" s="51"/>
    </x:row>
    <x:row r="51" ht="25" customHeight="1">
      <x:c r="A51" s="2"/>
      <x:c r="B51" s="2"/>
      <x:c r="C51" s="64"/>
      <x:c r="D51" s="51"/>
      <x:c r="E51" s="51"/>
      <x:c r="F51" s="51"/>
      <x:c r="G51" s="51"/>
      <x:c r="H51" s="51"/>
      <x:c r="I51" s="51"/>
      <x:c r="J51" s="51"/>
      <x:c r="K51" s="51"/>
      <x:c r="L51" s="51"/>
    </x:row>
    <x:row r="52" ht="25" customHeight="1">
      <x:c r="A52" s="2"/>
      <x:c r="B52" s="2"/>
      <x:c r="C52" s="64" t="str">
        <x:v>Partner channel</x:v>
      </x:c>
      <x:c r="D52" s="51" t="str">
        <x:v>Secure agreements, onboarding dates, capacity and channel attribution. Partner signatures in this workbook are assumptions, not existing distribution.</x:v>
      </x:c>
      <x:c r="E52" s="51"/>
      <x:c r="F52" s="51"/>
      <x:c r="G52" s="51"/>
      <x:c r="H52" s="51"/>
      <x:c r="I52" s="51"/>
      <x:c r="J52" s="51"/>
      <x:c r="K52" s="51"/>
      <x:c r="L52" s="51"/>
    </x:row>
    <x:row r="53" ht="25" customHeight="1">
      <x:c r="A53" s="2"/>
      <x:c r="B53" s="2"/>
      <x:c r="C53" s="64"/>
      <x:c r="D53" s="51"/>
      <x:c r="E53" s="51"/>
      <x:c r="F53" s="51"/>
      <x:c r="G53" s="51"/>
      <x:c r="H53" s="51"/>
      <x:c r="I53" s="51"/>
      <x:c r="J53" s="51"/>
      <x:c r="K53" s="51"/>
      <x:c r="L53" s="51"/>
    </x:row>
    <x:row r="54" ht="25" customHeight="1">
      <x:c r="A54" s="2"/>
      <x:c r="B54" s="2"/>
      <x:c r="C54" s="64"/>
      <x:c r="D54" s="51"/>
      <x:c r="E54" s="51"/>
      <x:c r="F54" s="51"/>
      <x:c r="G54" s="51"/>
      <x:c r="H54" s="51"/>
      <x:c r="I54" s="51"/>
      <x:c r="J54" s="51"/>
      <x:c r="K54" s="51"/>
      <x:c r="L54" s="51"/>
    </x:row>
    <x:row r="55" ht="25" customHeight="1">
      <x:c r="A55" s="2"/>
      <x:c r="B55" s="2"/>
      <x:c r="C55" s="64" t="str">
        <x:v>Recurring value</x:v>
      </x:c>
      <x:c r="D55" s="51" t="str">
        <x:v>Observe Map updates, approved design changes, adoption and renewal willingness. Validate phase uptake and 10% churn before extrapolating.</x:v>
      </x:c>
      <x:c r="E55" s="51"/>
      <x:c r="F55" s="51"/>
      <x:c r="G55" s="51"/>
      <x:c r="H55" s="51"/>
      <x:c r="I55" s="51"/>
      <x:c r="J55" s="51"/>
      <x:c r="K55" s="51"/>
      <x:c r="L55" s="51"/>
    </x:row>
    <x:row r="56" ht="25" customHeight="1">
      <x:c r="A56" s="2"/>
      <x:c r="B56" s="2"/>
      <x:c r="C56" s="64"/>
      <x:c r="D56" s="51"/>
      <x:c r="E56" s="51"/>
      <x:c r="F56" s="51"/>
      <x:c r="G56" s="51"/>
      <x:c r="H56" s="51"/>
      <x:c r="I56" s="51"/>
      <x:c r="J56" s="51"/>
      <x:c r="K56" s="51"/>
      <x:c r="L56" s="51"/>
    </x:row>
    <x:row r="57" ht="25" customHeight="1">
      <x:c r="A57" s="2"/>
      <x:c r="B57" s="2"/>
      <x:c r="C57" s="64"/>
      <x:c r="D57" s="51"/>
      <x:c r="E57" s="51"/>
      <x:c r="F57" s="51"/>
      <x:c r="G57" s="51"/>
      <x:c r="H57" s="51"/>
      <x:c r="I57" s="51"/>
      <x:c r="J57" s="51"/>
      <x:c r="K57" s="51"/>
      <x:c r="L57" s="51"/>
    </x:row>
    <x:row r="58" ht="25" customHeight="1">
      <x:c r="A58" s="2"/>
      <x:c r="B58" s="2"/>
      <x:c r="C58" s="64" t="str">
        <x:v>Data and training</x:v>
      </x:c>
      <x:c r="D58" s="51" t="str">
        <x:v>Price actual data licences and expert evaluation. Use purpose-authorised, reviewed data for shared learning. Customer mapping does not imply unrestricted rights to train models.</x:v>
      </x:c>
      <x:c r="E58" s="51"/>
      <x:c r="F58" s="51"/>
      <x:c r="G58" s="51"/>
      <x:c r="H58" s="51"/>
      <x:c r="I58" s="51"/>
      <x:c r="J58" s="51"/>
      <x:c r="K58" s="51"/>
      <x:c r="L58" s="51"/>
    </x:row>
    <x:row r="59" ht="25" customHeight="1">
      <x:c r="A59" s="2"/>
      <x:c r="B59" s="2"/>
      <x:c r="C59" s="64"/>
      <x:c r="D59" s="51"/>
      <x:c r="E59" s="51"/>
      <x:c r="F59" s="51"/>
      <x:c r="G59" s="51"/>
      <x:c r="H59" s="51"/>
      <x:c r="I59" s="51"/>
      <x:c r="J59" s="51"/>
      <x:c r="K59" s="51"/>
      <x:c r="L59" s="51"/>
    </x:row>
    <x:row r="60" ht="25" customHeight="1">
      <x:c r="A60" s="2"/>
      <x:c r="B60" s="2"/>
      <x:c r="C60" s="64"/>
      <x:c r="D60" s="51"/>
      <x:c r="E60" s="51"/>
      <x:c r="F60" s="51"/>
      <x:c r="G60" s="51"/>
      <x:c r="H60" s="51"/>
      <x:c r="I60" s="51"/>
      <x:c r="J60" s="51"/>
      <x:c r="K60" s="51"/>
      <x:c r="L60" s="51"/>
    </x:row>
    <x:row r="61" ht="25" customHeight="1">
      <x:c r="A61" s="2"/>
      <x:c r="B61" s="2"/>
      <x:c r="C61" s="64" t="str">
        <x:v>Financial limits</x:v>
      </x:c>
      <x:c r="D61" s="51" t="str">
        <x:v>No foundation-model pretraining, generic employee agent execution, business acquisitions or corporate tax included. Large custom integrations, dedicated GPUs and on-prem hardware purchase need separate scope.</x:v>
      </x:c>
      <x:c r="E61" s="51"/>
      <x:c r="F61" s="51"/>
      <x:c r="G61" s="51"/>
      <x:c r="H61" s="51"/>
      <x:c r="I61" s="51"/>
      <x:c r="J61" s="51"/>
      <x:c r="K61" s="51"/>
      <x:c r="L61" s="51"/>
    </x:row>
    <x:row r="62" ht="25" customHeight="1">
      <x:c r="A62" s="2"/>
      <x:c r="B62" s="2"/>
      <x:c r="C62" s="32"/>
      <x:c r="D62" s="51"/>
      <x:c r="E62" s="51"/>
      <x:c r="F62" s="51"/>
      <x:c r="G62" s="51"/>
      <x:c r="H62" s="51"/>
      <x:c r="I62" s="51"/>
      <x:c r="J62" s="51"/>
      <x:c r="K62" s="51"/>
      <x:c r="L62" s="51"/>
    </x:row>
    <x:row r="63" ht="25" customHeight="1">
      <x:c r="A63" s="2"/>
      <x:c r="B63" s="2"/>
      <x:c r="C63" s="32"/>
      <x:c r="D63" s="51"/>
      <x:c r="E63" s="51"/>
      <x:c r="F63" s="51"/>
      <x:c r="G63" s="51"/>
      <x:c r="H63" s="51"/>
      <x:c r="I63" s="51"/>
      <x:c r="J63" s="51"/>
      <x:c r="K63" s="51"/>
      <x:c r="L63" s="51"/>
    </x:row>
    <x:row r="64" ht="25" customHeight="1">
      <x:c r="A64" s="2"/>
      <x:c r="B64" s="2"/>
      <x:c r="C64" s="32"/>
      <x:c r="D64" s="3"/>
      <x:c r="E64" s="3"/>
      <x:c r="F64" s="3"/>
      <x:c r="G64" s="3"/>
      <x:c r="H64" s="3"/>
      <x:c r="I64" s="3"/>
      <x:c r="J64" s="3"/>
      <x:c r="K64" s="3"/>
      <x:c r="L64" s="3"/>
    </x:row>
    <x:row r="65" ht="25" customHeight="1">
      <x:c r="A65" s="2"/>
      <x:c r="B65" s="2"/>
      <x:c r="C65" s="32"/>
      <x:c r="D65" s="3"/>
      <x:c r="E65" s="3"/>
      <x:c r="F65" s="3"/>
      <x:c r="G65" s="3"/>
      <x:c r="H65" s="3"/>
      <x:c r="I65" s="3"/>
      <x:c r="J65" s="3"/>
      <x:c r="K65" s="3"/>
      <x:c r="L65" s="3"/>
    </x:row>
    <x:row r="66" ht="42" customHeight="1">
      <x:c r="A66" s="2"/>
      <x:c r="B66" s="2"/>
      <x:c r="C66" s="36" t="str">
        <x:v>v4.2 aligns the initial customer cohort, contract examples and forecast outputs to the 100+ employee ICP. Mapping revenue, ARR, funding and cash remain separated.</x:v>
      </x:c>
      <x:c r="D66" s="18"/>
      <x:c r="E66" s="18"/>
      <x:c r="F66" s="18"/>
      <x:c r="G66" s="18"/>
      <x:c r="H66" s="18"/>
      <x:c r="I66" s="18"/>
      <x:c r="J66" s="18"/>
      <x:c r="K66" s="18"/>
      <x:c r="L66" s="18"/>
    </x:row>
    <x:row r="67" ht="25" customHeight="1">
      <x:c r="A67" s="2"/>
      <x:c r="B67" s="2"/>
      <x:c r="C67" s="32"/>
      <x:c r="D67" s="3"/>
      <x:c r="E67" s="3"/>
      <x:c r="F67" s="3"/>
      <x:c r="G67" s="3"/>
      <x:c r="H67" s="3"/>
      <x:c r="I67" s="3"/>
      <x:c r="J67" s="3"/>
      <x:c r="K67" s="3"/>
      <x:c r="L67" s="3"/>
    </x:row>
    <x:row r="68" ht="25" customHeight="1">
      <x:c r="A68" s="2"/>
      <x:c r="B68" s="2"/>
      <x:c r="C68" s="32"/>
      <x:c r="D68" s="3"/>
      <x:c r="E68" s="3"/>
      <x:c r="F68" s="3"/>
      <x:c r="G68" s="3"/>
      <x:c r="H68" s="3"/>
      <x:c r="I68" s="3"/>
      <x:c r="J68" s="3"/>
      <x:c r="K68" s="3"/>
      <x:c r="L68" s="3"/>
    </x:row>
    <x:row r="69" ht="25" customHeight="1">
      <x:c r="A69" s="2"/>
      <x:c r="B69" s="2"/>
      <x:c r="C69" s="32"/>
      <x:c r="D69" s="3"/>
      <x:c r="E69" s="3"/>
      <x:c r="F69" s="3"/>
      <x:c r="G69" s="3"/>
      <x:c r="H69" s="3"/>
      <x:c r="I69" s="3"/>
      <x:c r="J69" s="3"/>
      <x:c r="K69" s="3"/>
      <x:c r="L69" s="3"/>
    </x:row>
    <x:row r="70" ht="25" customHeight="1">
      <x:c r="A70" s="2"/>
      <x:c r="B70" s="2"/>
      <x:c r="C70" s="32" t="str">
        <x:v>S9. Revenue recognition reference</x:v>
      </x:c>
      <x:c r="D70" s="33" t="str">
        <x:v>IFRS 15 links revenue recognition to the transfer of distinct promised goods or services. The mapping treatment in this model assumes a separately useful, accepted deliverable. Contract wording, allocation and timing require accounting review.</x:v>
      </x:c>
      <x:c r="E70" s="33"/>
      <x:c r="F70" s="33"/>
      <x:c r="G70" s="33"/>
      <x:c r="H70" s="33"/>
      <x:c r="I70" s="33"/>
      <x:c r="J70" s="33"/>
      <x:c r="K70" s="33"/>
      <x:c r="L70" s="33"/>
    </x:row>
    <x:row r="71" ht="25" customHeight="1">
      <x:c r="A71" s="2"/>
      <x:c r="B71" s="2"/>
      <x:c r="C71" s="32"/>
      <x:c r="D71" s="33"/>
      <x:c r="E71" s="33"/>
      <x:c r="F71" s="33"/>
      <x:c r="G71" s="33"/>
      <x:c r="H71" s="33"/>
      <x:c r="I71" s="33"/>
      <x:c r="J71" s="33"/>
      <x:c r="K71" s="33"/>
      <x:c r="L71" s="33"/>
    </x:row>
    <x:row r="72" ht="25" customHeight="1">
      <x:c r="A72" s="2"/>
      <x:c r="B72" s="2"/>
      <x:c r="C72" s="32"/>
      <x:c r="D72" s="33"/>
      <x:c r="E72" s="33"/>
      <x:c r="F72" s="33"/>
      <x:c r="G72" s="33"/>
      <x:c r="H72" s="33"/>
      <x:c r="I72" s="33"/>
      <x:c r="J72" s="33"/>
      <x:c r="K72" s="33"/>
      <x:c r="L72" s="33"/>
    </x:row>
    <x:row r="73" ht="25" customHeight="1">
      <x:c r="A73" s="2"/>
      <x:c r="B73" s="2"/>
      <x:c r="C73" s="32"/>
      <x:c r="D73" s="50" t="str">
        <x:v>https://www.ifrs.org/issued-standards/list-of-standards/ifrs-15-revenue-from-contracts-with-customers/</x:v>
      </x:c>
      <x:c r="E73" s="50"/>
      <x:c r="F73" s="50"/>
      <x:c r="G73" s="50"/>
      <x:c r="H73" s="50"/>
      <x:c r="I73" s="50"/>
      <x:c r="J73" s="50"/>
      <x:c r="K73" s="50"/>
      <x:c r="L73" s="50"/>
    </x:row>
    <x:row r="74" ht="25" customHeight="1">
      <x:c r="A74" s="2"/>
      <x:c r="B74" s="2"/>
      <x:c r="C74" s="32"/>
      <x:c r="D74" s="50"/>
      <x:c r="E74" s="50"/>
      <x:c r="F74" s="50"/>
      <x:c r="G74" s="50"/>
      <x:c r="H74" s="50"/>
      <x:c r="I74" s="50"/>
      <x:c r="J74" s="50"/>
      <x:c r="K74" s="50"/>
      <x:c r="L74" s="50"/>
    </x:row>
    <x:row r="75" ht="25" customHeight="1">
      <x:c r="A75" s="2"/>
      <x:c r="B75" s="2"/>
      <x:c r="C75" s="32"/>
      <x:c r="D75" s="3"/>
      <x:c r="E75" s="3"/>
      <x:c r="F75" s="3"/>
      <x:c r="G75" s="3"/>
      <x:c r="H75" s="3"/>
      <x:c r="I75" s="3"/>
      <x:c r="J75" s="3"/>
      <x:c r="K75" s="3"/>
      <x:c r="L75" s="3"/>
    </x:row>
    <x:row r="76" ht="25" customHeight="1">
      <x:c r="A76" s="2"/>
      <x:c r="B76" s="2"/>
      <x:c r="C76" s="32"/>
      <x:c r="D76" s="3"/>
      <x:c r="E76" s="3"/>
      <x:c r="F76" s="3"/>
      <x:c r="G76" s="3"/>
      <x:c r="H76" s="3"/>
      <x:c r="I76" s="3"/>
      <x:c r="J76" s="3"/>
      <x:c r="K76" s="3"/>
      <x:c r="L76" s="3"/>
    </x:row>
    <x:row r="77" ht="25" customHeight="1">
      <x:c r="A77" s="2"/>
      <x:c r="B77" s="2"/>
      <x:c r="C77" s="32"/>
      <x:c r="D77" s="3"/>
      <x:c r="E77" s="3"/>
      <x:c r="F77" s="3"/>
      <x:c r="G77" s="3"/>
      <x:c r="H77" s="3"/>
      <x:c r="I77" s="3"/>
      <x:c r="J77" s="3"/>
      <x:c r="K77" s="3"/>
      <x:c r="L77" s="3"/>
    </x:row>
    <x:row r="78" ht="25" customHeight="1">
      <x:c r="A78" s="2"/>
      <x:c r="B78" s="2"/>
      <x:c r="C78" s="32"/>
      <x:c r="D78" s="3"/>
      <x:c r="E78" s="3"/>
      <x:c r="F78" s="3"/>
      <x:c r="G78" s="3"/>
      <x:c r="H78" s="3"/>
      <x:c r="I78" s="3"/>
      <x:c r="J78" s="3"/>
      <x:c r="K78" s="3"/>
      <x:c r="L78" s="3"/>
    </x:row>
    <x:row r="79" ht="25" customHeight="1">
      <x:c r="A79" s="2"/>
      <x:c r="B79" s="2"/>
      <x:c r="C79" s="32"/>
      <x:c r="D79" s="3"/>
      <x:c r="E79" s="3"/>
      <x:c r="F79" s="3"/>
      <x:c r="G79" s="3"/>
      <x:c r="H79" s="3"/>
      <x:c r="I79" s="3"/>
      <x:c r="J79" s="3"/>
      <x:c r="K79" s="3"/>
      <x:c r="L79" s="3"/>
    </x:row>
    <x:row r="80" ht="25" customHeight="1">
      <x:c r="A80" s="2"/>
      <x:c r="B80" s="2"/>
      <x:c r="C80" s="32"/>
      <x:c r="D80" s="3"/>
      <x:c r="E80" s="3"/>
      <x:c r="F80" s="3"/>
      <x:c r="G80" s="3"/>
      <x:c r="H80" s="3"/>
      <x:c r="I80" s="3"/>
      <x:c r="J80" s="3"/>
      <x:c r="K80" s="3"/>
      <x:c r="L80" s="3"/>
    </x:row>
    <x:row r="81" ht="25" customHeight="1">
      <x:c r="A81" s="2"/>
      <x:c r="B81" s="2"/>
      <x:c r="C81" s="32"/>
      <x:c r="D81" s="3"/>
      <x:c r="E81" s="3"/>
      <x:c r="F81" s="3"/>
      <x:c r="G81" s="3"/>
      <x:c r="H81" s="3"/>
      <x:c r="I81" s="3"/>
      <x:c r="J81" s="3"/>
      <x:c r="K81" s="3"/>
      <x:c r="L81" s="3"/>
    </x:row>
    <x:row r="82" ht="25" customHeight="1">
      <x:c r="A82" s="2"/>
      <x:c r="B82" s="2"/>
      <x:c r="C82" s="32"/>
      <x:c r="D82" s="3"/>
      <x:c r="E82" s="3"/>
      <x:c r="F82" s="3"/>
      <x:c r="G82" s="3"/>
      <x:c r="H82" s="3"/>
      <x:c r="I82" s="3"/>
      <x:c r="J82" s="3"/>
      <x:c r="K82" s="3"/>
      <x:c r="L82" s="3"/>
    </x:row>
    <x:row r="83" ht="25" customHeight="1">
      <x:c r="A83" s="2"/>
      <x:c r="B83" s="2"/>
      <x:c r="C83" s="32"/>
      <x:c r="D83" s="3"/>
      <x:c r="E83" s="3"/>
      <x:c r="F83" s="3"/>
      <x:c r="G83" s="3"/>
      <x:c r="H83" s="3"/>
      <x:c r="I83" s="3"/>
      <x:c r="J83" s="3"/>
      <x:c r="K83" s="3"/>
      <x:c r="L83" s="3"/>
    </x:row>
    <x:row r="84" ht="25" customHeight="1">
      <x:c r="A84" s="2"/>
      <x:c r="B84" s="2"/>
      <x:c r="C84" s="32"/>
      <x:c r="D84" s="3"/>
      <x:c r="E84" s="3"/>
      <x:c r="F84" s="3"/>
      <x:c r="G84" s="3"/>
      <x:c r="H84" s="3"/>
      <x:c r="I84" s="3"/>
      <x:c r="J84" s="3"/>
      <x:c r="K84" s="3"/>
      <x:c r="L84" s="3"/>
    </x:row>
    <x:row r="85" ht="25" customHeight="1">
      <x:c r="A85" s="2"/>
      <x:c r="B85" s="2"/>
      <x:c r="C85" s="32"/>
      <x:c r="D85" s="3"/>
      <x:c r="E85" s="3"/>
      <x:c r="F85" s="3"/>
      <x:c r="G85" s="3"/>
      <x:c r="H85" s="3"/>
      <x:c r="I85" s="3"/>
      <x:c r="J85" s="3"/>
      <x:c r="K85" s="3"/>
      <x:c r="L85" s="3"/>
    </x:row>
    <x:row r="86" ht="25" customHeight="1">
      <x:c r="A86" s="2"/>
      <x:c r="B86" s="2"/>
      <x:c r="C86" s="32"/>
      <x:c r="D86" s="3"/>
      <x:c r="E86" s="3"/>
      <x:c r="F86" s="3"/>
      <x:c r="G86" s="3"/>
      <x:c r="H86" s="3"/>
      <x:c r="I86" s="3"/>
      <x:c r="J86" s="3"/>
      <x:c r="K86" s="3"/>
      <x:c r="L86" s="3"/>
    </x:row>
    <x:row r="87" ht="25" customHeight="1">
      <x:c r="A87" s="2"/>
      <x:c r="B87" s="2"/>
      <x:c r="C87" s="32"/>
      <x:c r="D87" s="3"/>
      <x:c r="E87" s="3"/>
      <x:c r="F87" s="3"/>
      <x:c r="G87" s="3"/>
      <x:c r="H87" s="3"/>
      <x:c r="I87" s="3"/>
      <x:c r="J87" s="3"/>
      <x:c r="K87" s="3"/>
      <x:c r="L87" s="3"/>
    </x:row>
    <x:row r="88" ht="25" customHeight="1">
      <x:c r="A88" s="2"/>
      <x:c r="B88" s="2"/>
      <x:c r="C88" s="32"/>
      <x:c r="D88" s="3"/>
      <x:c r="E88" s="3"/>
      <x:c r="F88" s="3"/>
      <x:c r="G88" s="3"/>
      <x:c r="H88" s="3"/>
      <x:c r="I88" s="3"/>
      <x:c r="J88" s="3"/>
      <x:c r="K88" s="3"/>
      <x:c r="L88" s="3"/>
    </x:row>
    <x:row r="89" ht="25" customHeight="1">
      <x:c r="A89" s="2"/>
      <x:c r="B89" s="2"/>
      <x:c r="C89" s="32"/>
      <x:c r="D89" s="3"/>
      <x:c r="E89" s="3"/>
      <x:c r="F89" s="3"/>
      <x:c r="G89" s="3"/>
      <x:c r="H89" s="3"/>
      <x:c r="I89" s="3"/>
      <x:c r="J89" s="3"/>
      <x:c r="K89" s="3"/>
      <x:c r="L89" s="3"/>
    </x:row>
    <x:row r="90" ht="25" customHeight="1">
      <x:c r="A90" s="2"/>
      <x:c r="B90" s="2"/>
      <x:c r="C90" s="32"/>
      <x:c r="D90" s="3"/>
      <x:c r="E90" s="3"/>
      <x:c r="F90" s="3"/>
      <x:c r="G90" s="3"/>
      <x:c r="H90" s="3"/>
      <x:c r="I90" s="3"/>
      <x:c r="J90" s="3"/>
      <x:c r="K90" s="3"/>
      <x:c r="L90" s="3"/>
    </x:row>
    <x:row r="91" ht="25" customHeight="1">
      <x:c r="A91" s="2"/>
      <x:c r="B91" s="2"/>
      <x:c r="C91" s="32"/>
      <x:c r="D91" s="3"/>
      <x:c r="E91" s="3"/>
      <x:c r="F91" s="3"/>
      <x:c r="G91" s="3"/>
      <x:c r="H91" s="3"/>
      <x:c r="I91" s="3"/>
      <x:c r="J91" s="3"/>
      <x:c r="K91" s="3"/>
      <x:c r="L91" s="3"/>
    </x:row>
    <x:row r="92" ht="25" customHeight="1">
      <x:c r="A92" s="2"/>
      <x:c r="B92" s="2"/>
      <x:c r="C92" s="32"/>
      <x:c r="D92" s="3"/>
      <x:c r="E92" s="3"/>
      <x:c r="F92" s="3"/>
      <x:c r="G92" s="3"/>
      <x:c r="H92" s="3"/>
      <x:c r="I92" s="3"/>
      <x:c r="J92" s="3"/>
      <x:c r="K92" s="3"/>
      <x:c r="L92" s="3"/>
    </x:row>
    <x:row r="93" ht="25" customHeight="1">
      <x:c r="A93" s="2"/>
      <x:c r="B93" s="2"/>
      <x:c r="C93" s="32"/>
      <x:c r="D93" s="3"/>
      <x:c r="E93" s="3"/>
      <x:c r="F93" s="3"/>
      <x:c r="G93" s="3"/>
      <x:c r="H93" s="3"/>
      <x:c r="I93" s="3"/>
      <x:c r="J93" s="3"/>
      <x:c r="K93" s="3"/>
      <x:c r="L93" s="3"/>
    </x:row>
    <x:row r="94" ht="25" customHeight="1">
      <x:c r="A94" s="2"/>
      <x:c r="B94" s="2"/>
      <x:c r="C94" s="32"/>
      <x:c r="D94" s="3"/>
      <x:c r="E94" s="3"/>
      <x:c r="F94" s="3"/>
      <x:c r="G94" s="3"/>
      <x:c r="H94" s="3"/>
      <x:c r="I94" s="3"/>
      <x:c r="J94" s="3"/>
      <x:c r="K94" s="3"/>
      <x:c r="L94" s="3"/>
    </x:row>
    <x:row r="95" ht="25" customHeight="1">
      <x:c r="A95" s="2"/>
      <x:c r="B95" s="2"/>
      <x:c r="C95" s="32"/>
      <x:c r="D95" s="3"/>
      <x:c r="E95" s="3"/>
      <x:c r="F95" s="3"/>
      <x:c r="G95" s="3"/>
      <x:c r="H95" s="3"/>
      <x:c r="I95" s="3"/>
      <x:c r="J95" s="3"/>
      <x:c r="K95" s="3"/>
      <x:c r="L95" s="3"/>
    </x:row>
    <x:row r="96" ht="25" customHeight="1">
      <x:c r="A96" s="2"/>
      <x:c r="B96" s="2"/>
      <x:c r="C96" s="32"/>
      <x:c r="D96" s="3"/>
      <x:c r="E96" s="3"/>
      <x:c r="F96" s="3"/>
      <x:c r="G96" s="3"/>
      <x:c r="H96" s="3"/>
      <x:c r="I96" s="3"/>
      <x:c r="J96" s="3"/>
      <x:c r="K96" s="3"/>
      <x:c r="L96" s="3"/>
    </x:row>
    <x:row r="97" ht="25" customHeight="1">
      <x:c r="A97" s="2"/>
      <x:c r="B97" s="2"/>
      <x:c r="C97" s="32"/>
      <x:c r="D97" s="3"/>
      <x:c r="E97" s="3"/>
      <x:c r="F97" s="3"/>
      <x:c r="G97" s="3"/>
      <x:c r="H97" s="3"/>
      <x:c r="I97" s="3"/>
      <x:c r="J97" s="3"/>
      <x:c r="K97" s="3"/>
      <x:c r="L97" s="3"/>
    </x:row>
    <x:row r="98" ht="25" customHeight="1">
      <x:c r="A98" s="2"/>
      <x:c r="B98" s="2"/>
      <x:c r="C98" s="32"/>
      <x:c r="D98" s="3"/>
      <x:c r="E98" s="3"/>
      <x:c r="F98" s="3"/>
      <x:c r="G98" s="3"/>
      <x:c r="H98" s="3"/>
      <x:c r="I98" s="3"/>
      <x:c r="J98" s="3"/>
      <x:c r="K98" s="3"/>
      <x:c r="L98" s="3"/>
    </x:row>
    <x:row r="99" ht="25" customHeight="1">
      <x:c r="A99" s="2"/>
      <x:c r="B99" s="2"/>
      <x:c r="C99" s="32"/>
      <x:c r="D99" s="3"/>
      <x:c r="E99" s="3"/>
      <x:c r="F99" s="3"/>
      <x:c r="G99" s="3"/>
      <x:c r="H99" s="3"/>
      <x:c r="I99" s="3"/>
      <x:c r="J99" s="3"/>
      <x:c r="K99" s="3"/>
      <x:c r="L99" s="3"/>
    </x:row>
    <x:row r="100" ht="25" customHeight="1">
      <x:c r="A100" s="2"/>
      <x:c r="B100" s="2"/>
      <x:c r="C100" s="32"/>
      <x:c r="D100" s="3"/>
      <x:c r="E100" s="3"/>
      <x:c r="F100" s="3"/>
      <x:c r="G100" s="3"/>
      <x:c r="H100" s="3"/>
      <x:c r="I100" s="3"/>
      <x:c r="J100" s="3"/>
      <x:c r="K100" s="3"/>
      <x:c r="L100" s="3"/>
    </x:row>
    <x:row r="101" ht="25" customHeight="1">
      <x:c r="A101" s="2"/>
      <x:c r="B101" s="2"/>
      <x:c r="C101" s="32"/>
      <x:c r="D101" s="3"/>
      <x:c r="E101" s="3"/>
      <x:c r="F101" s="3"/>
      <x:c r="G101" s="3"/>
      <x:c r="H101" s="3"/>
      <x:c r="I101" s="3"/>
      <x:c r="J101" s="3"/>
      <x:c r="K101" s="3"/>
      <x:c r="L101" s="3"/>
    </x:row>
    <x:row r="102" ht="25" customHeight="1">
      <x:c r="A102" s="2"/>
      <x:c r="B102" s="2"/>
      <x:c r="C102" s="32"/>
      <x:c r="D102" s="3"/>
      <x:c r="E102" s="3"/>
      <x:c r="F102" s="3"/>
      <x:c r="G102" s="3"/>
      <x:c r="H102" s="3"/>
      <x:c r="I102" s="3"/>
      <x:c r="J102" s="3"/>
      <x:c r="K102" s="3"/>
      <x:c r="L102" s="3"/>
    </x:row>
    <x:row r="103" ht="25" customHeight="1">
      <x:c r="A103" s="2"/>
      <x:c r="B103" s="2"/>
      <x:c r="C103" s="32"/>
      <x:c r="D103" s="3"/>
      <x:c r="E103" s="3"/>
      <x:c r="F103" s="3"/>
      <x:c r="G103" s="3"/>
      <x:c r="H103" s="3"/>
      <x:c r="I103" s="3"/>
      <x:c r="J103" s="3"/>
      <x:c r="K103" s="3"/>
      <x:c r="L103" s="3"/>
    </x:row>
    <x:row r="104" ht="25" customHeight="1">
      <x:c r="A104" s="2"/>
      <x:c r="B104" s="2"/>
      <x:c r="C104" s="32"/>
      <x:c r="D104" s="3"/>
      <x:c r="E104" s="3"/>
      <x:c r="F104" s="3"/>
      <x:c r="G104" s="3"/>
      <x:c r="H104" s="3"/>
      <x:c r="I104" s="3"/>
      <x:c r="J104" s="3"/>
      <x:c r="K104" s="3"/>
      <x:c r="L104" s="3"/>
    </x:row>
    <x:row r="105" ht="25" customHeight="1">
      <x:c r="A105" s="2"/>
      <x:c r="B105" s="2"/>
      <x:c r="C105" s="32"/>
      <x:c r="D105" s="3"/>
      <x:c r="E105" s="3"/>
      <x:c r="F105" s="3"/>
      <x:c r="G105" s="3"/>
      <x:c r="H105" s="3"/>
      <x:c r="I105" s="3"/>
      <x:c r="J105" s="3"/>
      <x:c r="K105" s="3"/>
      <x:c r="L105" s="3"/>
    </x:row>
    <x:row r="106" ht="25" customHeight="1">
      <x:c r="A106" s="2"/>
      <x:c r="B106" s="2"/>
      <x:c r="C106" s="32"/>
      <x:c r="D106" s="3"/>
      <x:c r="E106" s="3"/>
      <x:c r="F106" s="3"/>
      <x:c r="G106" s="3"/>
      <x:c r="H106" s="3"/>
      <x:c r="I106" s="3"/>
      <x:c r="J106" s="3"/>
      <x:c r="K106" s="3"/>
      <x:c r="L106" s="3"/>
    </x:row>
    <x:row r="107" ht="25" customHeight="1">
      <x:c r="A107" s="2"/>
      <x:c r="B107" s="2"/>
      <x:c r="C107" s="32"/>
      <x:c r="D107" s="3"/>
      <x:c r="E107" s="3"/>
      <x:c r="F107" s="3"/>
      <x:c r="G107" s="3"/>
      <x:c r="H107" s="3"/>
      <x:c r="I107" s="3"/>
      <x:c r="J107" s="3"/>
      <x:c r="K107" s="3"/>
      <x:c r="L107" s="3"/>
    </x:row>
    <x:row r="108" ht="25" customHeight="1">
      <x:c r="A108" s="2"/>
      <x:c r="B108" s="2"/>
      <x:c r="C108" s="32"/>
      <x:c r="D108" s="3"/>
      <x:c r="E108" s="3"/>
      <x:c r="F108" s="3"/>
      <x:c r="G108" s="3"/>
      <x:c r="H108" s="3"/>
      <x:c r="I108" s="3"/>
      <x:c r="J108" s="3"/>
      <x:c r="K108" s="3"/>
      <x:c r="L108" s="3"/>
    </x:row>
    <x:row r="109" ht="25" customHeight="1">
      <x:c r="A109" s="2"/>
      <x:c r="B109" s="2"/>
      <x:c r="C109" s="32"/>
      <x:c r="D109" s="3"/>
      <x:c r="E109" s="3"/>
      <x:c r="F109" s="3"/>
      <x:c r="G109" s="3"/>
      <x:c r="H109" s="3"/>
      <x:c r="I109" s="3"/>
      <x:c r="J109" s="3"/>
      <x:c r="K109" s="3"/>
      <x:c r="L109" s="3"/>
    </x:row>
    <x:row r="110" ht="25" customHeight="1">
      <x:c r="A110" s="2"/>
      <x:c r="B110" s="2"/>
      <x:c r="C110" s="32"/>
      <x:c r="D110" s="3"/>
      <x:c r="E110" s="3"/>
      <x:c r="F110" s="3"/>
      <x:c r="G110" s="3"/>
      <x:c r="H110" s="3"/>
      <x:c r="I110" s="3"/>
      <x:c r="J110" s="3"/>
      <x:c r="K110" s="3"/>
      <x:c r="L110" s="3"/>
    </x:row>
    <x:row r="111" ht="25" customHeight="1">
      <x:c r="A111" s="2"/>
      <x:c r="B111" s="2"/>
      <x:c r="C111" s="32"/>
      <x:c r="D111" s="3"/>
      <x:c r="E111" s="3"/>
      <x:c r="F111" s="3"/>
      <x:c r="G111" s="3"/>
      <x:c r="H111" s="3"/>
      <x:c r="I111" s="3"/>
      <x:c r="J111" s="3"/>
      <x:c r="K111" s="3"/>
      <x:c r="L111" s="3"/>
    </x:row>
    <x:row r="112" ht="25" customHeight="1">
      <x:c r="A112" s="2"/>
      <x:c r="B112" s="2"/>
      <x:c r="C112" s="32"/>
      <x:c r="D112" s="3"/>
      <x:c r="E112" s="3"/>
      <x:c r="F112" s="3"/>
      <x:c r="G112" s="3"/>
      <x:c r="H112" s="3"/>
      <x:c r="I112" s="3"/>
      <x:c r="J112" s="3"/>
      <x:c r="K112" s="3"/>
      <x:c r="L112" s="3"/>
    </x:row>
    <x:row r="113" ht="25" customHeight="1">
      <x:c r="A113" s="2"/>
      <x:c r="B113" s="2"/>
      <x:c r="C113" s="32"/>
      <x:c r="D113" s="3"/>
      <x:c r="E113" s="3"/>
      <x:c r="F113" s="3"/>
      <x:c r="G113" s="3"/>
      <x:c r="H113" s="3"/>
      <x:c r="I113" s="3"/>
      <x:c r="J113" s="3"/>
      <x:c r="K113" s="3"/>
      <x:c r="L113" s="3"/>
    </x:row>
    <x:row r="114" ht="25" customHeight="1">
      <x:c r="A114" s="2"/>
      <x:c r="B114" s="2"/>
      <x:c r="C114" s="32"/>
      <x:c r="D114" s="3"/>
      <x:c r="E114" s="3"/>
      <x:c r="F114" s="3"/>
      <x:c r="G114" s="3"/>
      <x:c r="H114" s="3"/>
      <x:c r="I114" s="3"/>
      <x:c r="J114" s="3"/>
      <x:c r="K114" s="3"/>
      <x:c r="L114" s="3"/>
    </x:row>
    <x:row r="115" ht="25" customHeight="1">
      <x:c r="A115" s="2"/>
      <x:c r="B115" s="2"/>
      <x:c r="C115" s="32"/>
      <x:c r="D115" s="3"/>
      <x:c r="E115" s="3"/>
      <x:c r="F115" s="3"/>
      <x:c r="G115" s="3"/>
      <x:c r="H115" s="3"/>
      <x:c r="I115" s="3"/>
      <x:c r="J115" s="3"/>
      <x:c r="K115" s="3"/>
      <x:c r="L115" s="3"/>
    </x:row>
    <x:row r="116" ht="25" customHeight="1">
      <x:c r="A116" s="2"/>
      <x:c r="B116" s="2"/>
      <x:c r="C116" s="32"/>
      <x:c r="D116" s="3"/>
      <x:c r="E116" s="3"/>
      <x:c r="F116" s="3"/>
      <x:c r="G116" s="3"/>
      <x:c r="H116" s="3"/>
      <x:c r="I116" s="3"/>
      <x:c r="J116" s="3"/>
      <x:c r="K116" s="3"/>
      <x:c r="L116" s="3"/>
    </x:row>
    <x:row r="117" ht="25" customHeight="1">
      <x:c r="A117" s="2"/>
      <x:c r="B117" s="2"/>
      <x:c r="C117" s="32"/>
      <x:c r="D117" s="3"/>
      <x:c r="E117" s="3"/>
      <x:c r="F117" s="3"/>
      <x:c r="G117" s="3"/>
      <x:c r="H117" s="3"/>
      <x:c r="I117" s="3"/>
      <x:c r="J117" s="3"/>
      <x:c r="K117" s="3"/>
      <x:c r="L117" s="3"/>
    </x:row>
    <x:row r="118" ht="25" customHeight="1">
      <x:c r="A118" s="2"/>
      <x:c r="B118" s="2"/>
      <x:c r="C118" s="32"/>
      <x:c r="D118" s="3"/>
      <x:c r="E118" s="3"/>
      <x:c r="F118" s="3"/>
      <x:c r="G118" s="3"/>
      <x:c r="H118" s="3"/>
      <x:c r="I118" s="3"/>
      <x:c r="J118" s="3"/>
      <x:c r="K118" s="3"/>
      <x:c r="L118" s="3"/>
    </x:row>
    <x:row r="119" ht="25" customHeight="1">
      <x:c r="A119" s="2"/>
      <x:c r="B119" s="2"/>
      <x:c r="C119" s="32"/>
      <x:c r="D119" s="3"/>
      <x:c r="E119" s="3"/>
      <x:c r="F119" s="3"/>
      <x:c r="G119" s="3"/>
      <x:c r="H119" s="3"/>
      <x:c r="I119" s="3"/>
      <x:c r="J119" s="3"/>
      <x:c r="K119" s="3"/>
      <x:c r="L119" s="3"/>
    </x:row>
    <x:row r="120" ht="25" customHeight="1">
      <x:c r="A120" s="2"/>
      <x:c r="B120" s="2"/>
      <x:c r="C120" s="32"/>
      <x:c r="D120" s="3"/>
      <x:c r="E120" s="3"/>
      <x:c r="F120" s="3"/>
      <x:c r="G120" s="3"/>
      <x:c r="H120" s="3"/>
      <x:c r="I120" s="3"/>
      <x:c r="J120" s="3"/>
      <x:c r="K120" s="3"/>
      <x:c r="L120" s="3"/>
    </x:row>
  </x:sheetData>
  <x:mergeCells>
    <x:mergeCell ref="C2:L2"/>
    <x:mergeCell ref="D9:L10"/>
    <x:mergeCell ref="D11:L11"/>
    <x:mergeCell ref="D12:L13"/>
    <x:mergeCell ref="D14:L14"/>
    <x:mergeCell ref="D15:L16"/>
    <x:mergeCell ref="D17:L17"/>
    <x:mergeCell ref="D18:L19"/>
    <x:mergeCell ref="D20:L20"/>
    <x:mergeCell ref="D21:L22"/>
    <x:mergeCell ref="D23:L23"/>
    <x:mergeCell ref="D24:L25"/>
    <x:mergeCell ref="D26:L26"/>
    <x:mergeCell ref="D27:L28"/>
    <x:mergeCell ref="D29:L29"/>
    <x:mergeCell ref="D30:L31"/>
    <x:mergeCell ref="D32:L32"/>
    <x:mergeCell ref="D37:L39"/>
    <x:mergeCell ref="D40:L42"/>
    <x:mergeCell ref="D43:L45"/>
    <x:mergeCell ref="D46:L48"/>
    <x:mergeCell ref="D49:L51"/>
    <x:mergeCell ref="D52:L54"/>
    <x:mergeCell ref="D55:L57"/>
    <x:mergeCell ref="D58:L60"/>
    <x:mergeCell ref="D61:L63"/>
    <x:mergeCell ref="C66:L66"/>
    <x:mergeCell ref="D70:L72"/>
    <x:mergeCell ref="D73:L74"/>
  </x:mergeCells>
  <x:pageMargins left="0.7" right="0.7" top="0.75" bottom="0.75" header="0.3" footer="0.3"/>
</x:worksheet>
</file>